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2019-2022" sheetId="1" r:id="rId1"/>
  </sheets>
  <definedNames>
    <definedName name="_xlnm._FilterDatabase" localSheetId="0" hidden="1">'2019-2022'!$A$6:$Y$36</definedName>
    <definedName name="_xlnm.Print_Titles" localSheetId="0">'2019-2022'!$A:$F,'2019-2022'!$4:$6</definedName>
    <definedName name="_xlnm.Print_Area" localSheetId="0">'2019-2022'!$A$1:$U$35</definedName>
  </definedNames>
  <calcPr calcId="162913"/>
</workbook>
</file>

<file path=xl/calcChain.xml><?xml version="1.0" encoding="utf-8"?>
<calcChain xmlns="http://schemas.openxmlformats.org/spreadsheetml/2006/main">
  <c r="T29" i="1" l="1"/>
  <c r="Q29" i="1"/>
  <c r="P29" i="1"/>
  <c r="M29" i="1"/>
  <c r="L29" i="1"/>
  <c r="K29" i="1"/>
  <c r="J29" i="1"/>
  <c r="I29" i="1"/>
  <c r="H29" i="1"/>
  <c r="T12" i="1"/>
  <c r="Q12" i="1"/>
  <c r="P12" i="1"/>
  <c r="M12" i="1"/>
  <c r="L12" i="1"/>
  <c r="K12" i="1"/>
  <c r="J12" i="1"/>
  <c r="I12" i="1"/>
  <c r="H12" i="1"/>
  <c r="T10" i="1"/>
  <c r="Q10" i="1"/>
  <c r="P10" i="1"/>
  <c r="M10" i="1"/>
  <c r="L10" i="1"/>
  <c r="K10" i="1"/>
  <c r="J10" i="1"/>
  <c r="I10" i="1"/>
  <c r="H10" i="1"/>
  <c r="T8" i="1"/>
  <c r="Q8" i="1"/>
  <c r="P8" i="1"/>
  <c r="M8" i="1"/>
  <c r="L8" i="1"/>
  <c r="H8" i="1"/>
  <c r="R13" i="1"/>
  <c r="R14" i="1"/>
  <c r="S35" i="1"/>
  <c r="R35" i="1"/>
  <c r="S34" i="1"/>
  <c r="R34" i="1"/>
  <c r="T32" i="1"/>
  <c r="Q32" i="1"/>
  <c r="Q28" i="1" s="1"/>
  <c r="P32" i="1"/>
  <c r="M32" i="1"/>
  <c r="L32" i="1"/>
  <c r="H32" i="1"/>
  <c r="H28" i="1" s="1"/>
  <c r="S31" i="1"/>
  <c r="R31" i="1"/>
  <c r="S30" i="1"/>
  <c r="R30" i="1"/>
  <c r="T28" i="1"/>
  <c r="P28" i="1"/>
  <c r="M28" i="1"/>
  <c r="O28" i="1" s="1"/>
  <c r="L28" i="1"/>
  <c r="S26" i="1"/>
  <c r="R26" i="1"/>
  <c r="S25" i="1"/>
  <c r="R25" i="1"/>
  <c r="S24" i="1"/>
  <c r="R24" i="1"/>
  <c r="S23" i="1"/>
  <c r="R23" i="1"/>
  <c r="S22" i="1"/>
  <c r="R22" i="1"/>
  <c r="S20" i="1"/>
  <c r="R20" i="1"/>
  <c r="S19" i="1"/>
  <c r="R19" i="1"/>
  <c r="T17" i="1"/>
  <c r="Q17" i="1"/>
  <c r="S17" i="1" s="1"/>
  <c r="P17" i="1"/>
  <c r="M17" i="1"/>
  <c r="L17" i="1"/>
  <c r="H17" i="1"/>
  <c r="S16" i="1"/>
  <c r="R16" i="1"/>
  <c r="S14" i="1"/>
  <c r="S13" i="1"/>
  <c r="O35" i="1"/>
  <c r="N35" i="1"/>
  <c r="O34" i="1"/>
  <c r="N34" i="1"/>
  <c r="O32" i="1"/>
  <c r="O31" i="1"/>
  <c r="N31" i="1"/>
  <c r="O30" i="1"/>
  <c r="N30" i="1"/>
  <c r="O26" i="1"/>
  <c r="N26" i="1"/>
  <c r="O25" i="1"/>
  <c r="N25" i="1"/>
  <c r="O24" i="1"/>
  <c r="N24" i="1"/>
  <c r="O23" i="1"/>
  <c r="N23" i="1"/>
  <c r="O22" i="1"/>
  <c r="N22" i="1"/>
  <c r="O20" i="1"/>
  <c r="N20" i="1"/>
  <c r="O19" i="1"/>
  <c r="N19" i="1"/>
  <c r="O17" i="1"/>
  <c r="N17" i="1"/>
  <c r="O16" i="1"/>
  <c r="O14" i="1"/>
  <c r="N14" i="1"/>
  <c r="O13" i="1"/>
  <c r="N13" i="1"/>
  <c r="N28" i="1" l="1"/>
  <c r="S28" i="1"/>
  <c r="R28" i="1"/>
  <c r="R32" i="1"/>
  <c r="R17" i="1"/>
  <c r="S32" i="1"/>
  <c r="N32" i="1"/>
  <c r="U35" i="1"/>
  <c r="U34" i="1"/>
  <c r="U31" i="1"/>
  <c r="U30" i="1"/>
  <c r="U26" i="1"/>
  <c r="U25" i="1"/>
  <c r="U24" i="1"/>
  <c r="U23" i="1"/>
  <c r="U22" i="1"/>
  <c r="U20" i="1"/>
  <c r="U16" i="1"/>
  <c r="U14" i="1"/>
  <c r="U13" i="1"/>
  <c r="U32" i="1" l="1"/>
  <c r="T11" i="1"/>
  <c r="P11" i="1"/>
  <c r="L11" i="1"/>
  <c r="H11" i="1"/>
  <c r="I7" i="1"/>
  <c r="J7" i="1"/>
  <c r="K7" i="1"/>
  <c r="Q11" i="1" l="1"/>
  <c r="U17" i="1"/>
  <c r="M11" i="1"/>
  <c r="T9" i="1"/>
  <c r="P9" i="1"/>
  <c r="L9" i="1"/>
  <c r="H9" i="1"/>
  <c r="C32" i="1"/>
  <c r="C28" i="1" s="1"/>
  <c r="C29" i="1" s="1"/>
  <c r="B29" i="1"/>
  <c r="C26" i="1"/>
  <c r="C17" i="1"/>
  <c r="C11" i="1" s="1"/>
  <c r="C12" i="1" s="1"/>
  <c r="B12" i="1"/>
  <c r="B10" i="1"/>
  <c r="B8" i="1"/>
  <c r="M9" i="1" l="1"/>
  <c r="U28" i="1"/>
  <c r="R11" i="1"/>
  <c r="Q9" i="1"/>
  <c r="T7" i="1"/>
  <c r="P7" i="1"/>
  <c r="L7" i="1"/>
  <c r="H7" i="1"/>
  <c r="C9" i="1"/>
  <c r="M7" i="1" l="1"/>
  <c r="R9" i="1"/>
  <c r="Q7" i="1"/>
  <c r="C10" i="1"/>
  <c r="C7" i="1"/>
  <c r="C8" i="1" s="1"/>
  <c r="R7" i="1" l="1"/>
</calcChain>
</file>

<file path=xl/sharedStrings.xml><?xml version="1.0" encoding="utf-8"?>
<sst xmlns="http://schemas.openxmlformats.org/spreadsheetml/2006/main" count="78" uniqueCount="53">
  <si>
    <t xml:space="preserve">Структура источников финансирования дефицита федерального бюджета </t>
  </si>
  <si>
    <t>млн. рублей</t>
  </si>
  <si>
    <t>Наименование источника</t>
  </si>
  <si>
    <t>2021 год</t>
  </si>
  <si>
    <t>2022 год</t>
  </si>
  <si>
    <t>Показатели, установленные Федеральным законом № 349-ФЗ (с изм.) и в расчетах к нему</t>
  </si>
  <si>
    <t>Федеральный закон от 05.10.2015 № 276-ФЗ
"Об исполнении федерального бюджета за 2014 год"</t>
  </si>
  <si>
    <t>Показатели, установленные Федеральным законом № 384-ФЗ (с изм.) и в расчетах к нему</t>
  </si>
  <si>
    <t>Федеральный закон 
"Об исполнении федерального бюджета за 2015 год", принятый ГД СФ РФ
 26.10.2016</t>
  </si>
  <si>
    <t>Показатели, установленные Федеральным законом № 359-ФЗ и в расчетах к нему</t>
  </si>
  <si>
    <t>Показатели, установленные Федеральным законом № 359-ФЗ с учетом изменений</t>
  </si>
  <si>
    <t>законопроект</t>
  </si>
  <si>
    <t>% к утвержденному показателю 
2016 года</t>
  </si>
  <si>
    <t>% к уточненному показателю 2016 года</t>
  </si>
  <si>
    <t>% к предыдущему году</t>
  </si>
  <si>
    <t>% к предыдущему бюджетному циклу</t>
  </si>
  <si>
    <t>ДЕФИЦИТ (-), ПРОФИЦИТ (+)</t>
  </si>
  <si>
    <t>% к ВВП</t>
  </si>
  <si>
    <t>ИСТОЧНИКИ ФИНАНСИРОВАНИЯ ДЕФИЦИТА ФЕДЕРАЛЬНОГО БЮДЖЕТА</t>
  </si>
  <si>
    <t>ИСТОЧНИКИ ВНУТРЕННЕГО ФИНАНСИРОВАНИЯ ДЕФИЦИТА ФЕДЕРАЛЬНОГО БЮДЖЕТА</t>
  </si>
  <si>
    <t>Государственные ценные бумаги Российской Федерации, номинальная стоимость которых указана в валюте Российской Федерации</t>
  </si>
  <si>
    <t>Изменение остатков средств на счетах по учету средств федерального бюджета в течение соответствующего финансового года</t>
  </si>
  <si>
    <t>из них:</t>
  </si>
  <si>
    <t>изменение остатков средств на счетах по учету средств федерального бюджета для зачисления дополнительных нефтегазовых доходов в иностранной валюте</t>
  </si>
  <si>
    <t>Иные источники внутреннего финансирования дефицита федерального бюджета</t>
  </si>
  <si>
    <t>Поступление от продажи акций и иных форм участия в капитале, находящихся в собственности Российской Федерации</t>
  </si>
  <si>
    <t>Государственные запасы драгоценных металлов и драгоценных камней</t>
  </si>
  <si>
    <t>Курсовая разница</t>
  </si>
  <si>
    <t>Исполнение государственных гарантий Российской Федерации в валюте Российской Федерации,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принципалу, либо обусловлено уступкой гаранту прав требования бенефициара к принципалу</t>
  </si>
  <si>
    <t>Бюджетные кредиты, предоставленные из федерального бюджета другим бюджетам бюджетной системы Российской Федерации</t>
  </si>
  <si>
    <t>Бюджетные кредиты, предоставленные федеральным бюджетом внутри страны за счет средств целевых иностранных кредитов (заимствований)</t>
  </si>
  <si>
    <t>Прочие бюджетные кредиты (ссуды), предоставленные федеральным бюджетом внутри страны</t>
  </si>
  <si>
    <t>Прочие источники внутреннего финансирования дефицита федерального бюджета</t>
  </si>
  <si>
    <t>Операции по управлению остатками средств на единых счетах бюджетов</t>
  </si>
  <si>
    <t>ИСТОЧНИКИ ВНЕШНЕГО ФИНАНСИРОВАНИЯ ДЕФИЦИТА ФЕДЕРАЛЬНОГО БЮДЖЕТА</t>
  </si>
  <si>
    <t xml:space="preserve">Государственные ценные бумаги Российской Федерации, номинальная стоимость которых указана в иностранной валюте </t>
  </si>
  <si>
    <t>Кредиты иностранных государств, включая целевые иностранные кредиты (заимствования), международных финансовых организаций, иных субъектов международного права, иностранных юридических лиц в иностранной валюте</t>
  </si>
  <si>
    <t>Иные источники внешнего финансирования дефицита федерального бюджета</t>
  </si>
  <si>
    <t>в том числе:</t>
  </si>
  <si>
    <t>Исполнение государственных гарантий Российской Федерации в иностранной валюте,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принципалу, либо обусловлено уступкой гаранту прав требования бенефициара к принципалу</t>
  </si>
  <si>
    <t>Государственные финансовые и государственные экспортные кредиты</t>
  </si>
  <si>
    <t>Прочие источники внешнего финансирования дефицитов бюджетов</t>
  </si>
  <si>
    <t>2023 год</t>
  </si>
  <si>
    <t>Приложение № 6
к Заключению Счетной палаты Российской Федерации 
на проект федерального закона
 «О федеральном бюджете на 2022 год и на плановый период 2023 и 2024 годов»</t>
  </si>
  <si>
    <t>показатели, установленные Федеральным законом № 385-ФЗ и в расчетах к нему</t>
  </si>
  <si>
    <t>2024 год</t>
  </si>
  <si>
    <t>ВВП</t>
  </si>
  <si>
    <t>х</t>
  </si>
  <si>
    <t>5=4/2*100</t>
  </si>
  <si>
    <t>6=4/3*100</t>
  </si>
  <si>
    <t>9=8/4*100</t>
  </si>
  <si>
    <t>10=8/7*100</t>
  </si>
  <si>
    <t>12=11/8*100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</si>
</sst>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#,##0.0_ ;\-#,##0.0\ "/>
  </numFmts>
  <fonts count="16" x14ac:knownFonts="1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0" fontId="2" fillId="0" borderId="0" xfId="0" applyFont="1" applyFill="1"/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164" fontId="11" fillId="0" borderId="2" xfId="0" applyNumberFormat="1" applyFont="1" applyFill="1" applyBorder="1"/>
    <xf numFmtId="164" fontId="11" fillId="0" borderId="0" xfId="0" applyNumberFormat="1" applyFont="1" applyFill="1" applyBorder="1"/>
    <xf numFmtId="164" fontId="1" fillId="0" borderId="0" xfId="0" applyNumberFormat="1" applyFont="1" applyFill="1"/>
    <xf numFmtId="0" fontId="12" fillId="0" borderId="1" xfId="0" applyFont="1" applyFill="1" applyBorder="1" applyAlignment="1">
      <alignment horizontal="justify" vertical="center" wrapText="1"/>
    </xf>
    <xf numFmtId="165" fontId="5" fillId="0" borderId="1" xfId="0" applyNumberFormat="1" applyFont="1" applyFill="1" applyBorder="1"/>
    <xf numFmtId="165" fontId="5" fillId="0" borderId="0" xfId="0" applyNumberFormat="1" applyFont="1" applyFill="1" applyBorder="1"/>
    <xf numFmtId="0" fontId="10" fillId="0" borderId="1" xfId="0" applyFont="1" applyFill="1" applyBorder="1" applyAlignment="1">
      <alignment horizontal="justify" vertical="center" wrapText="1"/>
    </xf>
    <xf numFmtId="164" fontId="11" fillId="0" borderId="1" xfId="0" applyNumberFormat="1" applyFont="1" applyFill="1" applyBorder="1"/>
    <xf numFmtId="0" fontId="12" fillId="0" borderId="1" xfId="0" applyFont="1" applyFill="1" applyBorder="1" applyAlignment="1">
      <alignment horizontal="left" vertical="center" wrapText="1" indent="1"/>
    </xf>
    <xf numFmtId="164" fontId="5" fillId="0" borderId="1" xfId="0" applyNumberFormat="1" applyFont="1" applyFill="1" applyBorder="1"/>
    <xf numFmtId="164" fontId="5" fillId="0" borderId="0" xfId="0" applyNumberFormat="1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3"/>
    </xf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center" wrapText="1" indent="3"/>
    </xf>
    <xf numFmtId="164" fontId="9" fillId="0" borderId="0" xfId="0" applyNumberFormat="1" applyFont="1" applyFill="1"/>
    <xf numFmtId="0" fontId="9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2" fillId="2" borderId="0" xfId="0" applyNumberFormat="1" applyFont="1" applyFill="1"/>
    <xf numFmtId="166" fontId="15" fillId="0" borderId="3" xfId="1" applyNumberFormat="1" applyFont="1" applyBorder="1" applyAlignment="1">
      <alignment horizontal="center" vertical="center" wrapText="1"/>
    </xf>
    <xf numFmtId="3" fontId="2" fillId="0" borderId="0" xfId="0" applyNumberFormat="1" applyFont="1" applyFill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49"/>
  <sheetViews>
    <sheetView tabSelected="1" view="pageBreakPreview" zoomScaleNormal="100" zoomScaleSheetLayoutView="100" workbookViewId="0">
      <selection activeCell="P25" sqref="P25"/>
    </sheetView>
  </sheetViews>
  <sheetFormatPr defaultColWidth="9.140625" defaultRowHeight="10.5" x14ac:dyDescent="0.2"/>
  <cols>
    <col min="1" max="1" width="41" style="1" customWidth="1"/>
    <col min="2" max="2" width="12.5703125" style="2" hidden="1" customWidth="1"/>
    <col min="3" max="3" width="15.5703125" style="2" hidden="1" customWidth="1"/>
    <col min="4" max="4" width="12.140625" style="2" hidden="1" customWidth="1"/>
    <col min="5" max="5" width="16.42578125" style="2" hidden="1" customWidth="1"/>
    <col min="6" max="7" width="12" style="2" hidden="1" customWidth="1"/>
    <col min="8" max="8" width="16.140625" style="2" customWidth="1"/>
    <col min="9" max="9" width="12" style="2" hidden="1" customWidth="1"/>
    <col min="10" max="10" width="11.5703125" style="2" hidden="1" customWidth="1"/>
    <col min="11" max="11" width="10.28515625" style="2" hidden="1" customWidth="1"/>
    <col min="12" max="12" width="15.5703125" style="2" customWidth="1"/>
    <col min="13" max="15" width="11" style="2" bestFit="1" customWidth="1"/>
    <col min="16" max="16" width="14.140625" style="2" bestFit="1" customWidth="1"/>
    <col min="17" max="18" width="11" style="2" bestFit="1" customWidth="1"/>
    <col min="19" max="19" width="11.7109375" style="2" bestFit="1" customWidth="1"/>
    <col min="20" max="20" width="11" style="2" bestFit="1" customWidth="1"/>
    <col min="21" max="21" width="11.7109375" style="2" customWidth="1"/>
    <col min="22" max="23" width="9.5703125" style="2" customWidth="1"/>
    <col min="24" max="16384" width="9.140625" style="1"/>
  </cols>
  <sheetData>
    <row r="1" spans="1:25" ht="66" customHeight="1" x14ac:dyDescent="0.25">
      <c r="E1" s="3"/>
      <c r="F1" s="3"/>
      <c r="H1" s="3"/>
      <c r="I1" s="3"/>
      <c r="J1" s="3"/>
      <c r="K1" s="3"/>
      <c r="L1" s="3"/>
      <c r="M1" s="3"/>
      <c r="N1" s="3"/>
      <c r="O1" s="45" t="s">
        <v>43</v>
      </c>
      <c r="P1" s="45"/>
      <c r="Q1" s="45"/>
      <c r="R1" s="45"/>
      <c r="S1" s="45"/>
      <c r="T1" s="45"/>
      <c r="U1" s="45"/>
      <c r="V1" s="4"/>
      <c r="W1" s="4"/>
    </row>
    <row r="2" spans="1:25" ht="27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5"/>
      <c r="W2" s="5"/>
    </row>
    <row r="3" spans="1:25" ht="12.75" x14ac:dyDescent="0.2"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6"/>
      <c r="T3" s="6"/>
      <c r="U3" s="6" t="s">
        <v>1</v>
      </c>
      <c r="V3" s="6"/>
      <c r="W3" s="6"/>
    </row>
    <row r="4" spans="1:25" ht="15" customHeight="1" x14ac:dyDescent="0.2">
      <c r="A4" s="47" t="s">
        <v>2</v>
      </c>
      <c r="B4" s="7"/>
      <c r="C4" s="7"/>
      <c r="D4" s="40"/>
      <c r="E4" s="40"/>
      <c r="F4" s="40"/>
      <c r="G4" s="40"/>
      <c r="H4" s="48" t="s">
        <v>3</v>
      </c>
      <c r="I4" s="48"/>
      <c r="J4" s="8"/>
      <c r="K4" s="8"/>
      <c r="L4" s="48" t="s">
        <v>4</v>
      </c>
      <c r="M4" s="48"/>
      <c r="N4" s="48"/>
      <c r="O4" s="48"/>
      <c r="P4" s="48" t="s">
        <v>42</v>
      </c>
      <c r="Q4" s="48"/>
      <c r="R4" s="48"/>
      <c r="S4" s="48"/>
      <c r="T4" s="48" t="s">
        <v>45</v>
      </c>
      <c r="U4" s="48"/>
      <c r="V4" s="9"/>
      <c r="W4" s="10"/>
    </row>
    <row r="5" spans="1:25" ht="65.25" customHeight="1" x14ac:dyDescent="0.2">
      <c r="A5" s="47"/>
      <c r="B5" s="40" t="s">
        <v>5</v>
      </c>
      <c r="C5" s="40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0" t="s">
        <v>44</v>
      </c>
      <c r="I5" s="40" t="s">
        <v>11</v>
      </c>
      <c r="J5" s="40" t="s">
        <v>12</v>
      </c>
      <c r="K5" s="40" t="s">
        <v>13</v>
      </c>
      <c r="L5" s="40" t="s">
        <v>44</v>
      </c>
      <c r="M5" s="40" t="s">
        <v>11</v>
      </c>
      <c r="N5" s="40" t="s">
        <v>14</v>
      </c>
      <c r="O5" s="40" t="s">
        <v>15</v>
      </c>
      <c r="P5" s="40" t="s">
        <v>44</v>
      </c>
      <c r="Q5" s="40" t="s">
        <v>11</v>
      </c>
      <c r="R5" s="40" t="s">
        <v>14</v>
      </c>
      <c r="S5" s="40" t="s">
        <v>15</v>
      </c>
      <c r="T5" s="40" t="s">
        <v>11</v>
      </c>
      <c r="U5" s="40" t="s">
        <v>14</v>
      </c>
      <c r="V5" s="11"/>
      <c r="W5" s="11"/>
    </row>
    <row r="6" spans="1:25" ht="9.6" x14ac:dyDescent="0.2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4</v>
      </c>
      <c r="G6" s="13">
        <v>5</v>
      </c>
      <c r="H6" s="13">
        <v>2</v>
      </c>
      <c r="I6" s="13">
        <v>3</v>
      </c>
      <c r="J6" s="13">
        <v>7</v>
      </c>
      <c r="K6" s="13">
        <v>8</v>
      </c>
      <c r="L6" s="13">
        <v>3</v>
      </c>
      <c r="M6" s="13">
        <v>4</v>
      </c>
      <c r="N6" s="13" t="s">
        <v>48</v>
      </c>
      <c r="O6" s="13" t="s">
        <v>49</v>
      </c>
      <c r="P6" s="13">
        <v>7</v>
      </c>
      <c r="Q6" s="13">
        <v>8</v>
      </c>
      <c r="R6" s="13" t="s">
        <v>50</v>
      </c>
      <c r="S6" s="13" t="s">
        <v>51</v>
      </c>
      <c r="T6" s="13">
        <v>11</v>
      </c>
      <c r="U6" s="13" t="s">
        <v>52</v>
      </c>
      <c r="V6" s="11"/>
      <c r="W6" s="11"/>
    </row>
    <row r="7" spans="1:25" ht="12.75" x14ac:dyDescent="0.2">
      <c r="A7" s="14" t="s">
        <v>16</v>
      </c>
      <c r="B7" s="15">
        <v>278641.2</v>
      </c>
      <c r="C7" s="15">
        <f>-C9</f>
        <v>-334695.40000000026</v>
      </c>
      <c r="D7" s="15">
        <v>-2165946.9999999995</v>
      </c>
      <c r="E7" s="15">
        <v>-1961009.5999999999</v>
      </c>
      <c r="F7" s="15">
        <v>-2008086.7</v>
      </c>
      <c r="G7" s="15">
        <v>-1331388.2999999998</v>
      </c>
      <c r="H7" s="41">
        <f>-H9</f>
        <v>-2754966.4622999998</v>
      </c>
      <c r="I7" s="41">
        <f t="shared" ref="I7:M7" si="0">-I9</f>
        <v>-2008086.7</v>
      </c>
      <c r="J7" s="41">
        <f t="shared" si="0"/>
        <v>93.683146250607621</v>
      </c>
      <c r="K7" s="41">
        <f t="shared" si="0"/>
        <v>141.29903349759047</v>
      </c>
      <c r="L7" s="41">
        <f t="shared" si="0"/>
        <v>-1247494.9669999999</v>
      </c>
      <c r="M7" s="41">
        <f t="shared" si="0"/>
        <v>1327677.6599999997</v>
      </c>
      <c r="N7" s="41" t="s">
        <v>47</v>
      </c>
      <c r="O7" s="41" t="s">
        <v>47</v>
      </c>
      <c r="P7" s="41">
        <f t="shared" ref="P7:Q7" si="1">-P9</f>
        <v>-1408621.2517999997</v>
      </c>
      <c r="Q7" s="41">
        <f t="shared" si="1"/>
        <v>299108.2911999994</v>
      </c>
      <c r="R7" s="41">
        <f>IFERROR(Q7/M7%,"-")</f>
        <v>22.528682993732037</v>
      </c>
      <c r="S7" s="41" t="s">
        <v>47</v>
      </c>
      <c r="T7" s="41">
        <f t="shared" ref="T7" si="2">-T9</f>
        <v>-522650.10329999996</v>
      </c>
      <c r="U7" s="41" t="s">
        <v>47</v>
      </c>
      <c r="V7" s="16"/>
      <c r="W7" s="16"/>
      <c r="X7" s="17"/>
      <c r="Y7" s="17"/>
    </row>
    <row r="8" spans="1:25" ht="12.75" x14ac:dyDescent="0.2">
      <c r="A8" s="18" t="s">
        <v>17</v>
      </c>
      <c r="B8" s="19" t="e">
        <f>B7/1000/$B$37%</f>
        <v>#DIV/0!</v>
      </c>
      <c r="C8" s="19" t="e">
        <f>-C7/1000/$C$37%</f>
        <v>#DIV/0!</v>
      </c>
      <c r="D8" s="19">
        <v>2.9462653880160508</v>
      </c>
      <c r="E8" s="19">
        <v>2.4268629268491897</v>
      </c>
      <c r="F8" s="19">
        <v>2.1774014356349758</v>
      </c>
      <c r="G8" s="19">
        <v>1.4465762756798337</v>
      </c>
      <c r="H8" s="42">
        <f>H7/1000/H$38%</f>
        <v>-2.3845710422996027</v>
      </c>
      <c r="I8" s="42">
        <v>-2.1774014356349758</v>
      </c>
      <c r="J8" s="42"/>
      <c r="K8" s="42"/>
      <c r="L8" s="42">
        <f t="shared" ref="L8:M8" si="3">L7/1000/L$38%</f>
        <v>-1.004238318990847</v>
      </c>
      <c r="M8" s="42">
        <f t="shared" si="3"/>
        <v>0.99579807692307665</v>
      </c>
      <c r="N8" s="42"/>
      <c r="O8" s="39"/>
      <c r="P8" s="42">
        <f t="shared" ref="P8:Q8" si="4">P7/1000/P$38%</f>
        <v>-1.0605330832241644</v>
      </c>
      <c r="Q8" s="42">
        <f t="shared" si="4"/>
        <v>0.21081631169783085</v>
      </c>
      <c r="R8" s="42"/>
      <c r="S8" s="42"/>
      <c r="T8" s="42">
        <f>T7/1000/T$38%</f>
        <v>-0.34495396652432458</v>
      </c>
      <c r="U8" s="42"/>
      <c r="V8" s="20"/>
      <c r="W8" s="20"/>
    </row>
    <row r="9" spans="1:25" ht="30" customHeight="1" x14ac:dyDescent="0.2">
      <c r="A9" s="21" t="s">
        <v>18</v>
      </c>
      <c r="B9" s="22">
        <v>-278641.2</v>
      </c>
      <c r="C9" s="22">
        <f>C11+C28</f>
        <v>334695.40000000026</v>
      </c>
      <c r="D9" s="22">
        <v>2165946.9999999995</v>
      </c>
      <c r="E9" s="22">
        <v>1961009.5999999999</v>
      </c>
      <c r="F9" s="22">
        <v>2008086.7</v>
      </c>
      <c r="G9" s="22">
        <v>1331388.2999999998</v>
      </c>
      <c r="H9" s="43">
        <f>H11+H28</f>
        <v>2754966.4622999998</v>
      </c>
      <c r="I9" s="43">
        <v>2008086.7</v>
      </c>
      <c r="J9" s="43">
        <v>-93.683146250607621</v>
      </c>
      <c r="K9" s="43">
        <v>-141.29903349759047</v>
      </c>
      <c r="L9" s="43">
        <f t="shared" ref="L9:M9" si="5">L11+L28</f>
        <v>1247494.9669999999</v>
      </c>
      <c r="M9" s="43">
        <f t="shared" si="5"/>
        <v>-1327677.6599999997</v>
      </c>
      <c r="N9" s="41" t="s">
        <v>47</v>
      </c>
      <c r="O9" s="41" t="s">
        <v>47</v>
      </c>
      <c r="P9" s="43">
        <f>P11+P28</f>
        <v>1408621.2517999997</v>
      </c>
      <c r="Q9" s="43">
        <f>Q11+Q28</f>
        <v>-299108.2911999994</v>
      </c>
      <c r="R9" s="41">
        <f>IFERROR(Q9/M9%,"-")</f>
        <v>22.528682993732037</v>
      </c>
      <c r="S9" s="41" t="s">
        <v>47</v>
      </c>
      <c r="T9" s="43">
        <f>T11+T28</f>
        <v>522650.10329999996</v>
      </c>
      <c r="U9" s="41" t="s">
        <v>47</v>
      </c>
      <c r="V9" s="16"/>
      <c r="W9" s="16"/>
      <c r="X9" s="17"/>
      <c r="Y9" s="17"/>
    </row>
    <row r="10" spans="1:25" ht="12.75" x14ac:dyDescent="0.2">
      <c r="A10" s="18" t="s">
        <v>17</v>
      </c>
      <c r="B10" s="19" t="e">
        <f>-B9/1000/$B$37%</f>
        <v>#DIV/0!</v>
      </c>
      <c r="C10" s="19" t="e">
        <f>C9/1000/$C$37%</f>
        <v>#DIV/0!</v>
      </c>
      <c r="D10" s="19">
        <v>2.9462653880160508</v>
      </c>
      <c r="E10" s="19">
        <v>2.4268629268491897</v>
      </c>
      <c r="F10" s="19">
        <v>2.1774014356349758</v>
      </c>
      <c r="G10" s="19">
        <v>1.4465762756798337</v>
      </c>
      <c r="H10" s="42">
        <f t="shared" ref="H10:M10" si="6">H9/1000/H$38%</f>
        <v>2.3845710422996027</v>
      </c>
      <c r="I10" s="42" t="e">
        <f t="shared" si="6"/>
        <v>#DIV/0!</v>
      </c>
      <c r="J10" s="42" t="e">
        <f t="shared" si="6"/>
        <v>#DIV/0!</v>
      </c>
      <c r="K10" s="42" t="e">
        <f t="shared" si="6"/>
        <v>#DIV/0!</v>
      </c>
      <c r="L10" s="42">
        <f t="shared" si="6"/>
        <v>1.004238318990847</v>
      </c>
      <c r="M10" s="42">
        <f t="shared" si="6"/>
        <v>-0.99579807692307665</v>
      </c>
      <c r="N10" s="42"/>
      <c r="O10" s="42"/>
      <c r="P10" s="42">
        <f t="shared" ref="P10:Q10" si="7">P9/1000/P$38%</f>
        <v>1.0605330832241644</v>
      </c>
      <c r="Q10" s="42">
        <f t="shared" si="7"/>
        <v>-0.21081631169783085</v>
      </c>
      <c r="R10" s="42"/>
      <c r="S10" s="42"/>
      <c r="T10" s="42">
        <f>T9/1000/T$38%</f>
        <v>0.34495396652432458</v>
      </c>
      <c r="U10" s="42"/>
      <c r="V10" s="20"/>
      <c r="W10" s="20"/>
      <c r="X10" s="17"/>
      <c r="Y10" s="17"/>
    </row>
    <row r="11" spans="1:25" ht="36" x14ac:dyDescent="0.2">
      <c r="A11" s="21" t="s">
        <v>19</v>
      </c>
      <c r="B11" s="22">
        <v>-122483.50000000001</v>
      </c>
      <c r="C11" s="22">
        <f>SUM(C13:C17)</f>
        <v>481359.30000000028</v>
      </c>
      <c r="D11" s="22">
        <v>2487860.0999999996</v>
      </c>
      <c r="E11" s="22">
        <v>2256997.4</v>
      </c>
      <c r="F11" s="22">
        <v>2225841</v>
      </c>
      <c r="G11" s="22">
        <v>1457733.7999999998</v>
      </c>
      <c r="H11" s="43">
        <f>H13+H14+H17</f>
        <v>2738073.1138999998</v>
      </c>
      <c r="I11" s="43">
        <v>2225841</v>
      </c>
      <c r="J11" s="43">
        <v>-70.491288461305189</v>
      </c>
      <c r="K11" s="43">
        <v>-107.63446659465536</v>
      </c>
      <c r="L11" s="43">
        <f t="shared" ref="L11:M11" si="8">L13+L14+L17</f>
        <v>1391312.2749999999</v>
      </c>
      <c r="M11" s="43">
        <f t="shared" si="8"/>
        <v>-1194103.8844999997</v>
      </c>
      <c r="N11" s="41" t="s">
        <v>47</v>
      </c>
      <c r="O11" s="41" t="s">
        <v>47</v>
      </c>
      <c r="P11" s="43">
        <f t="shared" ref="P11:Q11" si="9">P13+P14+P17</f>
        <v>1627800.9494999999</v>
      </c>
      <c r="Q11" s="43">
        <f t="shared" si="9"/>
        <v>-39369.522599999415</v>
      </c>
      <c r="R11" s="41">
        <f>IFERROR(Q11/M11%,"-")</f>
        <v>3.2969930934011145</v>
      </c>
      <c r="S11" s="41" t="s">
        <v>47</v>
      </c>
      <c r="T11" s="43">
        <f>T13+T14+T17</f>
        <v>579933.91129999992</v>
      </c>
      <c r="U11" s="41" t="s">
        <v>47</v>
      </c>
      <c r="V11" s="16"/>
      <c r="W11" s="16"/>
      <c r="X11" s="17"/>
      <c r="Y11" s="17"/>
    </row>
    <row r="12" spans="1:25" ht="12.75" x14ac:dyDescent="0.2">
      <c r="A12" s="18" t="s">
        <v>17</v>
      </c>
      <c r="B12" s="19" t="e">
        <f>-B11/1000/$B$37%</f>
        <v>#DIV/0!</v>
      </c>
      <c r="C12" s="19" t="e">
        <f>C11/1000/$C$37%</f>
        <v>#DIV/0!</v>
      </c>
      <c r="D12" s="19">
        <v>3.384153029993878</v>
      </c>
      <c r="E12" s="19">
        <v>2.793164967705926</v>
      </c>
      <c r="F12" s="19">
        <v>2.4135160045107562</v>
      </c>
      <c r="G12" s="19">
        <v>1.5838528334195301</v>
      </c>
      <c r="H12" s="42">
        <f t="shared" ref="H12:M12" si="10">H11/1000/H$38%</f>
        <v>2.3699489443708726</v>
      </c>
      <c r="I12" s="42" t="e">
        <f t="shared" si="10"/>
        <v>#DIV/0!</v>
      </c>
      <c r="J12" s="42" t="e">
        <f t="shared" si="10"/>
        <v>#DIV/0!</v>
      </c>
      <c r="K12" s="42" t="e">
        <f t="shared" si="10"/>
        <v>#DIV/0!</v>
      </c>
      <c r="L12" s="42">
        <f t="shared" si="10"/>
        <v>1.1200118134322952</v>
      </c>
      <c r="M12" s="42">
        <f t="shared" si="10"/>
        <v>-0.89561373792451671</v>
      </c>
      <c r="N12" s="42"/>
      <c r="O12" s="42"/>
      <c r="P12" s="42">
        <f t="shared" ref="P12:Q12" si="11">P11/1000/P$38%</f>
        <v>1.2255506990558791</v>
      </c>
      <c r="Q12" s="42">
        <f t="shared" si="11"/>
        <v>-2.7748269747182086E-2</v>
      </c>
      <c r="R12" s="42"/>
      <c r="S12" s="42"/>
      <c r="T12" s="42">
        <f>T11/1000/T$38%</f>
        <v>0.38276181667579667</v>
      </c>
      <c r="U12" s="42"/>
      <c r="V12" s="20"/>
      <c r="W12" s="20"/>
      <c r="X12" s="17"/>
      <c r="Y12" s="17"/>
    </row>
    <row r="13" spans="1:25" ht="36" x14ac:dyDescent="0.2">
      <c r="A13" s="23" t="s">
        <v>20</v>
      </c>
      <c r="B13" s="24">
        <v>135017.39999999997</v>
      </c>
      <c r="C13" s="24">
        <v>1025272.3</v>
      </c>
      <c r="D13" s="24">
        <v>79987.3</v>
      </c>
      <c r="E13" s="24">
        <v>15272.1</v>
      </c>
      <c r="F13" s="24">
        <v>1123903.3</v>
      </c>
      <c r="G13" s="24">
        <v>1123479</v>
      </c>
      <c r="H13" s="38">
        <v>2681585.9545</v>
      </c>
      <c r="I13" s="38">
        <v>0</v>
      </c>
      <c r="J13" s="38">
        <v>0</v>
      </c>
      <c r="K13" s="38">
        <v>0</v>
      </c>
      <c r="L13" s="38">
        <v>2056086.4135999999</v>
      </c>
      <c r="M13" s="38">
        <v>2199531.0264000003</v>
      </c>
      <c r="N13" s="39">
        <f>(IFERROR(M13/H13%,"-"))</f>
        <v>82.023513835495081</v>
      </c>
      <c r="O13" s="39">
        <f>(IFERROR(M13/L13%,"-"))</f>
        <v>106.97658482888583</v>
      </c>
      <c r="P13" s="38">
        <v>2400855.3758999999</v>
      </c>
      <c r="Q13" s="38">
        <v>2664134.6514000003</v>
      </c>
      <c r="R13" s="39">
        <f>(IFERROR(Q13/M13%,"-"))</f>
        <v>121.12284934486341</v>
      </c>
      <c r="S13" s="39">
        <f>(IFERROR(Q13/P13%,"-"))</f>
        <v>110.96606143555424</v>
      </c>
      <c r="T13" s="38">
        <v>2672232.3687</v>
      </c>
      <c r="U13" s="39">
        <f>IFERROR(T13/Q13%,"-")</f>
        <v>100.30395300386729</v>
      </c>
      <c r="V13" s="25"/>
      <c r="W13" s="25"/>
      <c r="X13" s="17"/>
      <c r="Y13" s="17"/>
    </row>
    <row r="14" spans="1:25" ht="36" x14ac:dyDescent="0.2">
      <c r="A14" s="23" t="s">
        <v>21</v>
      </c>
      <c r="B14" s="24">
        <v>-122501.99999999999</v>
      </c>
      <c r="C14" s="24">
        <v>-3247986.3</v>
      </c>
      <c r="D14" s="24">
        <v>2599063.9</v>
      </c>
      <c r="E14" s="24">
        <v>954215.2</v>
      </c>
      <c r="F14" s="24">
        <v>1065531.3</v>
      </c>
      <c r="G14" s="24">
        <v>10391.79999999993</v>
      </c>
      <c r="H14" s="38">
        <v>94957.198300000004</v>
      </c>
      <c r="I14" s="38">
        <v>0</v>
      </c>
      <c r="J14" s="38">
        <v>0</v>
      </c>
      <c r="K14" s="38">
        <v>0</v>
      </c>
      <c r="L14" s="38">
        <v>-698842.59679999994</v>
      </c>
      <c r="M14" s="38">
        <v>-3394473.9188000001</v>
      </c>
      <c r="N14" s="39">
        <f>(IFERROR(M14/H14%,"-"))</f>
        <v>-3574.7410197126678</v>
      </c>
      <c r="O14" s="39">
        <f>(IFERROR(M14/L14%,"-"))</f>
        <v>485.72796425737283</v>
      </c>
      <c r="P14" s="38">
        <v>-783557.9804</v>
      </c>
      <c r="Q14" s="38">
        <v>-2707645.5335999997</v>
      </c>
      <c r="R14" s="39">
        <f>(IFERROR(Q14/M14%,"-"))</f>
        <v>79.766278910082036</v>
      </c>
      <c r="S14" s="39">
        <f>(IFERROR(Q14/P14%,"-"))</f>
        <v>345.55777636490518</v>
      </c>
      <c r="T14" s="38">
        <v>-2093556.77</v>
      </c>
      <c r="U14" s="39">
        <f>IFERROR(T14/Q14%,"-")</f>
        <v>77.32019365239708</v>
      </c>
      <c r="V14" s="25"/>
      <c r="W14" s="25"/>
      <c r="X14" s="17"/>
      <c r="Y14" s="17"/>
    </row>
    <row r="15" spans="1:25" ht="12.75" x14ac:dyDescent="0.2">
      <c r="A15" s="26" t="s">
        <v>22</v>
      </c>
      <c r="B15" s="24"/>
      <c r="C15" s="24"/>
      <c r="D15" s="24"/>
      <c r="E15" s="24"/>
      <c r="F15" s="24"/>
      <c r="G15" s="24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25"/>
      <c r="W15" s="25"/>
      <c r="X15" s="17"/>
      <c r="Y15" s="17"/>
    </row>
    <row r="16" spans="1:25" ht="48" x14ac:dyDescent="0.2">
      <c r="A16" s="27" t="s">
        <v>23</v>
      </c>
      <c r="B16" s="24"/>
      <c r="C16" s="24"/>
      <c r="D16" s="24"/>
      <c r="E16" s="24"/>
      <c r="F16" s="24"/>
      <c r="G16" s="24"/>
      <c r="H16" s="38">
        <v>0</v>
      </c>
      <c r="I16" s="38">
        <v>0</v>
      </c>
      <c r="J16" s="38">
        <v>0</v>
      </c>
      <c r="K16" s="38">
        <v>0</v>
      </c>
      <c r="L16" s="38">
        <v>-702650.66779999994</v>
      </c>
      <c r="M16" s="38">
        <v>-3397674.3613</v>
      </c>
      <c r="N16" s="39" t="s">
        <v>47</v>
      </c>
      <c r="O16" s="39">
        <f>(IFERROR(M16/L16%,"-"))</f>
        <v>483.55100436154459</v>
      </c>
      <c r="P16" s="38">
        <v>-787335.15620000008</v>
      </c>
      <c r="Q16" s="38">
        <v>-2710804.3475000001</v>
      </c>
      <c r="R16" s="39">
        <f>(IFERROR(Q16/M16%,"-"))</f>
        <v>79.78411287368948</v>
      </c>
      <c r="S16" s="39">
        <f>(IFERROR(Q16/P16%,"-"))</f>
        <v>344.30119449808961</v>
      </c>
      <c r="T16" s="38">
        <v>-2096674.4964999999</v>
      </c>
      <c r="U16" s="39">
        <f>IFERROR(T16/Q16%,"-")</f>
        <v>77.345106017467742</v>
      </c>
      <c r="V16" s="25"/>
      <c r="W16" s="25"/>
      <c r="X16" s="17"/>
      <c r="Y16" s="17"/>
    </row>
    <row r="17" spans="1:25" ht="24" x14ac:dyDescent="0.2">
      <c r="A17" s="23" t="s">
        <v>24</v>
      </c>
      <c r="B17" s="28">
        <v>-134998.9</v>
      </c>
      <c r="C17" s="28">
        <f>SUM(C19:C27)</f>
        <v>2704073.3000000003</v>
      </c>
      <c r="D17" s="28">
        <v>-191191.09999999998</v>
      </c>
      <c r="E17" s="28">
        <v>1287510.0999999999</v>
      </c>
      <c r="F17" s="28">
        <v>36406.400000000001</v>
      </c>
      <c r="G17" s="28">
        <v>323863.00000000006</v>
      </c>
      <c r="H17" s="38">
        <f>(H19+H20+H22+H23+H24+H25+H26)</f>
        <v>-38470.0389</v>
      </c>
      <c r="I17" s="38">
        <v>36.406400000000005</v>
      </c>
      <c r="J17" s="38">
        <v>0</v>
      </c>
      <c r="K17" s="38">
        <v>1.1300519046633916E-2</v>
      </c>
      <c r="L17" s="38">
        <f>(L19+L20+L22+L23+L24+L25+L26)</f>
        <v>34068.458200000001</v>
      </c>
      <c r="M17" s="38">
        <f>(M19+M20+M22+M23+M24+M25+M26)</f>
        <v>839.00790000000507</v>
      </c>
      <c r="N17" s="39">
        <f>(IFERROR(M17/H17%,"-"))</f>
        <v>-2.1809385277226876</v>
      </c>
      <c r="O17" s="39">
        <f>(IFERROR(M17/L17%,"-"))</f>
        <v>2.462711682091927</v>
      </c>
      <c r="P17" s="38">
        <f>(P19+P20+P22+P23+P24+P25+P26)</f>
        <v>10503.553999999996</v>
      </c>
      <c r="Q17" s="38">
        <f>(Q19+Q20+Q22+Q23+Q24+Q25+Q26)</f>
        <v>4141.3595999999998</v>
      </c>
      <c r="R17" s="39">
        <f>(IFERROR(Q17/M17%,"-"))</f>
        <v>493.60197919471022</v>
      </c>
      <c r="S17" s="39">
        <f>(IFERROR(Q17/P17%,"-"))</f>
        <v>39.428174501697242</v>
      </c>
      <c r="T17" s="38">
        <f>(T19+T20+T22+T23+T24+T25+T26)</f>
        <v>1258.3126000000011</v>
      </c>
      <c r="U17" s="39">
        <f>IFERROR(T17/Q17%,"-")</f>
        <v>30.384045857790305</v>
      </c>
      <c r="V17" s="29"/>
      <c r="W17" s="29"/>
      <c r="X17" s="17"/>
      <c r="Y17" s="17"/>
    </row>
    <row r="18" spans="1:25" ht="12.75" x14ac:dyDescent="0.2">
      <c r="A18" s="26" t="s">
        <v>22</v>
      </c>
      <c r="B18" s="24"/>
      <c r="C18" s="24"/>
      <c r="D18" s="24"/>
      <c r="E18" s="24"/>
      <c r="F18" s="24"/>
      <c r="G18" s="2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25"/>
      <c r="W18" s="25"/>
      <c r="X18" s="17"/>
      <c r="Y18" s="17"/>
    </row>
    <row r="19" spans="1:25" ht="36" x14ac:dyDescent="0.2">
      <c r="A19" s="30" t="s">
        <v>25</v>
      </c>
      <c r="B19" s="24">
        <v>26000</v>
      </c>
      <c r="C19" s="24">
        <v>29724</v>
      </c>
      <c r="D19" s="24">
        <v>5000</v>
      </c>
      <c r="E19" s="24">
        <v>6304</v>
      </c>
      <c r="F19" s="24">
        <v>18356.599999999999</v>
      </c>
      <c r="G19" s="24">
        <v>14284.5</v>
      </c>
      <c r="H19" s="38">
        <v>3600</v>
      </c>
      <c r="I19" s="38">
        <v>0</v>
      </c>
      <c r="J19" s="38">
        <v>0</v>
      </c>
      <c r="K19" s="38">
        <v>0</v>
      </c>
      <c r="L19" s="38">
        <v>3600</v>
      </c>
      <c r="M19" s="38">
        <v>3923.3597</v>
      </c>
      <c r="N19" s="39">
        <f>(IFERROR(M19/H19%,"-"))</f>
        <v>108.98221388888889</v>
      </c>
      <c r="O19" s="39">
        <f>(IFERROR(M19/L19%,"-"))</f>
        <v>108.98221388888889</v>
      </c>
      <c r="P19" s="38">
        <v>3300</v>
      </c>
      <c r="Q19" s="38">
        <v>871.85769999999991</v>
      </c>
      <c r="R19" s="39">
        <f>(IFERROR(Q19/M19%,"-"))</f>
        <v>22.22222193901823</v>
      </c>
      <c r="S19" s="39">
        <f>(IFERROR(Q19/P19%,"-"))</f>
        <v>26.419930303030299</v>
      </c>
      <c r="T19" s="38">
        <v>0</v>
      </c>
      <c r="U19" s="39" t="s">
        <v>47</v>
      </c>
      <c r="V19" s="25"/>
      <c r="W19" s="25"/>
      <c r="X19" s="17"/>
      <c r="Y19" s="17"/>
    </row>
    <row r="20" spans="1:25" ht="24" x14ac:dyDescent="0.2">
      <c r="A20" s="30" t="s">
        <v>26</v>
      </c>
      <c r="B20" s="28">
        <v>-3050</v>
      </c>
      <c r="C20" s="28">
        <v>-8815.4</v>
      </c>
      <c r="D20" s="28">
        <v>-10607</v>
      </c>
      <c r="E20" s="28">
        <v>-10582.5</v>
      </c>
      <c r="F20" s="28">
        <v>2532</v>
      </c>
      <c r="G20" s="28">
        <v>2549.4</v>
      </c>
      <c r="H20" s="38">
        <v>-34820</v>
      </c>
      <c r="I20" s="38">
        <v>0</v>
      </c>
      <c r="J20" s="38">
        <v>0</v>
      </c>
      <c r="K20" s="38">
        <v>0</v>
      </c>
      <c r="L20" s="38">
        <v>-7000</v>
      </c>
      <c r="M20" s="38">
        <v>-34400</v>
      </c>
      <c r="N20" s="39">
        <f>(IFERROR(M20/H20%,"-"))</f>
        <v>98.79379666858128</v>
      </c>
      <c r="O20" s="39">
        <f>(IFERROR(M20/L20%,"-"))</f>
        <v>491.42857142857144</v>
      </c>
      <c r="P20" s="38">
        <v>-7000</v>
      </c>
      <c r="Q20" s="38">
        <v>-35900</v>
      </c>
      <c r="R20" s="39">
        <f>(IFERROR(Q20/M20%,"-"))</f>
        <v>104.36046511627907</v>
      </c>
      <c r="S20" s="39">
        <f>(IFERROR(Q20/P20%,"-"))</f>
        <v>512.85714285714289</v>
      </c>
      <c r="T20" s="38">
        <v>-36400</v>
      </c>
      <c r="U20" s="39">
        <f t="shared" ref="U20" si="12">IFERROR(T20/Q20%,"-")</f>
        <v>101.39275766016713</v>
      </c>
      <c r="V20" s="29"/>
      <c r="W20" s="29"/>
      <c r="X20" s="17"/>
      <c r="Y20" s="17"/>
    </row>
    <row r="21" spans="1:25" ht="13.15" hidden="1" x14ac:dyDescent="0.25">
      <c r="A21" s="30" t="s">
        <v>27</v>
      </c>
      <c r="B21" s="28"/>
      <c r="C21" s="28">
        <v>3487024.7</v>
      </c>
      <c r="D21" s="28">
        <v>0</v>
      </c>
      <c r="E21" s="28">
        <v>1775621.2</v>
      </c>
      <c r="F21" s="28">
        <v>0</v>
      </c>
      <c r="G21" s="28">
        <v>59085.7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/>
      <c r="V21" s="29"/>
      <c r="W21" s="29"/>
      <c r="X21" s="17"/>
      <c r="Y21" s="17"/>
    </row>
    <row r="22" spans="1:25" ht="96" x14ac:dyDescent="0.2">
      <c r="A22" s="30" t="s">
        <v>28</v>
      </c>
      <c r="B22" s="24">
        <v>-47300.7</v>
      </c>
      <c r="C22" s="24">
        <v>0</v>
      </c>
      <c r="D22" s="24">
        <v>-36683.699999999997</v>
      </c>
      <c r="E22" s="24">
        <v>0</v>
      </c>
      <c r="F22" s="24">
        <v>-9202.9</v>
      </c>
      <c r="G22" s="24">
        <v>0</v>
      </c>
      <c r="H22" s="38">
        <v>-56108.634700000002</v>
      </c>
      <c r="I22" s="38">
        <v>0</v>
      </c>
      <c r="J22" s="38">
        <v>0</v>
      </c>
      <c r="K22" s="38">
        <v>0</v>
      </c>
      <c r="L22" s="38">
        <v>-15480.598800000002</v>
      </c>
      <c r="M22" s="38">
        <v>-33597.650399999999</v>
      </c>
      <c r="N22" s="39">
        <f>(IFERROR(M22/H22%,"-"))</f>
        <v>59.87964344461227</v>
      </c>
      <c r="O22" s="39">
        <f>(IFERROR(M22/L22%,"-"))</f>
        <v>217.03069005315217</v>
      </c>
      <c r="P22" s="38">
        <v>-26354.7981</v>
      </c>
      <c r="Q22" s="38">
        <v>-17078.866899999997</v>
      </c>
      <c r="R22" s="39">
        <f>(IFERROR(Q22/M22%,"-"))</f>
        <v>50.833515727040243</v>
      </c>
      <c r="S22" s="39">
        <f>(IFERROR(Q22/P22%,"-"))</f>
        <v>64.803633991792935</v>
      </c>
      <c r="T22" s="38">
        <v>-16728.751100000001</v>
      </c>
      <c r="U22" s="39">
        <f t="shared" ref="U22:U26" si="13">IFERROR(T22/Q22%,"-")</f>
        <v>97.950005688023737</v>
      </c>
      <c r="V22" s="25"/>
      <c r="W22" s="25"/>
      <c r="X22" s="17"/>
      <c r="Y22" s="17"/>
    </row>
    <row r="23" spans="1:25" ht="36" x14ac:dyDescent="0.2">
      <c r="A23" s="30" t="s">
        <v>29</v>
      </c>
      <c r="B23" s="28">
        <v>-105351.3</v>
      </c>
      <c r="C23" s="28">
        <v>-170413.1</v>
      </c>
      <c r="D23" s="28">
        <v>-146769.60000000001</v>
      </c>
      <c r="E23" s="28">
        <v>-168224.4</v>
      </c>
      <c r="F23" s="28">
        <v>26228.6</v>
      </c>
      <c r="G23" s="28">
        <v>-20354.2</v>
      </c>
      <c r="H23" s="38">
        <v>51509.588499999998</v>
      </c>
      <c r="I23" s="38">
        <v>0</v>
      </c>
      <c r="J23" s="38">
        <v>0</v>
      </c>
      <c r="K23" s="38">
        <v>0</v>
      </c>
      <c r="L23" s="38">
        <v>55579.918700000002</v>
      </c>
      <c r="M23" s="38">
        <v>65029.754200000003</v>
      </c>
      <c r="N23" s="39">
        <f>(IFERROR(M23/H23%,"-"))</f>
        <v>126.24786198787049</v>
      </c>
      <c r="O23" s="39">
        <f>(IFERROR(M23/L23%,"-"))</f>
        <v>117.0022477920609</v>
      </c>
      <c r="P23" s="38">
        <v>43053.730799999998</v>
      </c>
      <c r="Q23" s="38">
        <v>56074.9954</v>
      </c>
      <c r="R23" s="39">
        <f>(IFERROR(Q23/M23%,"-"))</f>
        <v>86.229751426616957</v>
      </c>
      <c r="S23" s="39">
        <f>(IFERROR(Q23/P23%,"-"))</f>
        <v>130.24421892840934</v>
      </c>
      <c r="T23" s="38">
        <v>54096.752200000003</v>
      </c>
      <c r="U23" s="39">
        <f t="shared" si="13"/>
        <v>96.472147369984455</v>
      </c>
      <c r="V23" s="29"/>
      <c r="W23" s="29"/>
      <c r="X23" s="17"/>
      <c r="Y23" s="17"/>
    </row>
    <row r="24" spans="1:25" s="32" customFormat="1" ht="48" x14ac:dyDescent="0.2">
      <c r="A24" s="30" t="s">
        <v>30</v>
      </c>
      <c r="B24" s="28">
        <v>1823.3000000000002</v>
      </c>
      <c r="C24" s="28">
        <v>2698</v>
      </c>
      <c r="D24" s="28">
        <v>2852</v>
      </c>
      <c r="E24" s="28">
        <v>2909.9</v>
      </c>
      <c r="F24" s="28">
        <v>1131.3</v>
      </c>
      <c r="G24" s="28">
        <v>1123.5</v>
      </c>
      <c r="H24" s="38">
        <v>684.94849999999997</v>
      </c>
      <c r="I24" s="38">
        <v>0</v>
      </c>
      <c r="J24" s="38">
        <v>0</v>
      </c>
      <c r="K24" s="38">
        <v>0</v>
      </c>
      <c r="L24" s="38">
        <v>687.46219999999994</v>
      </c>
      <c r="M24" s="38">
        <v>686.93590000000006</v>
      </c>
      <c r="N24" s="39">
        <f>(IFERROR(M24/H24%,"-"))</f>
        <v>100.29015320129909</v>
      </c>
      <c r="O24" s="39">
        <f>(IFERROR(M24/L24%,"-"))</f>
        <v>99.923443063487724</v>
      </c>
      <c r="P24" s="38">
        <v>780.13300000000004</v>
      </c>
      <c r="Q24" s="38">
        <v>779.46940000000006</v>
      </c>
      <c r="R24" s="39">
        <f>(IFERROR(Q24/M24%,"-"))</f>
        <v>113.47047082558942</v>
      </c>
      <c r="S24" s="39">
        <f>(IFERROR(Q24/P24%,"-"))</f>
        <v>99.914937581156039</v>
      </c>
      <c r="T24" s="38">
        <v>731.75669999999991</v>
      </c>
      <c r="U24" s="39">
        <f t="shared" si="13"/>
        <v>93.878823209737277</v>
      </c>
      <c r="V24" s="29"/>
      <c r="W24" s="29"/>
      <c r="X24" s="31"/>
      <c r="Y24" s="31"/>
    </row>
    <row r="25" spans="1:25" ht="36" x14ac:dyDescent="0.2">
      <c r="A25" s="30" t="s">
        <v>31</v>
      </c>
      <c r="B25" s="28">
        <v>1879.8</v>
      </c>
      <c r="C25" s="28">
        <v>2726.5</v>
      </c>
      <c r="D25" s="28">
        <v>3417.2</v>
      </c>
      <c r="E25" s="28">
        <v>3972.8</v>
      </c>
      <c r="F25" s="28">
        <v>2860.8</v>
      </c>
      <c r="G25" s="28">
        <v>2901.2</v>
      </c>
      <c r="H25" s="38">
        <v>2164.0587999999998</v>
      </c>
      <c r="I25" s="38">
        <v>0</v>
      </c>
      <c r="J25" s="38">
        <v>0</v>
      </c>
      <c r="K25" s="38">
        <v>0</v>
      </c>
      <c r="L25" s="38">
        <v>2181.6761000000001</v>
      </c>
      <c r="M25" s="38">
        <v>2156.5084999999999</v>
      </c>
      <c r="N25" s="39">
        <f>(IFERROR(M25/H25%,"-"))</f>
        <v>99.651104674235285</v>
      </c>
      <c r="O25" s="39">
        <f>(IFERROR(M25/L25%,"-"))</f>
        <v>98.846409877249883</v>
      </c>
      <c r="P25" s="38">
        <v>2224.4883</v>
      </c>
      <c r="Q25" s="38">
        <v>2196.8040000000001</v>
      </c>
      <c r="R25" s="39">
        <f>(IFERROR(Q25/M25%,"-"))</f>
        <v>101.86855280190179</v>
      </c>
      <c r="S25" s="39">
        <f>(IFERROR(Q25/P25%,"-"))</f>
        <v>98.755475585104222</v>
      </c>
      <c r="T25" s="38">
        <v>2219.4548</v>
      </c>
      <c r="U25" s="39">
        <f t="shared" si="13"/>
        <v>101.03107969577621</v>
      </c>
      <c r="V25" s="29"/>
      <c r="W25" s="29"/>
      <c r="X25" s="17"/>
      <c r="Y25" s="17"/>
    </row>
    <row r="26" spans="1:25" ht="36" x14ac:dyDescent="0.2">
      <c r="A26" s="30" t="s">
        <v>32</v>
      </c>
      <c r="B26" s="28">
        <v>-9000</v>
      </c>
      <c r="C26" s="28">
        <f>-291936.6</f>
        <v>-291936.59999999998</v>
      </c>
      <c r="D26" s="28">
        <v>-8400</v>
      </c>
      <c r="E26" s="28">
        <v>-551266.10000000009</v>
      </c>
      <c r="F26" s="28">
        <v>-5500</v>
      </c>
      <c r="G26" s="28">
        <v>-10116.9</v>
      </c>
      <c r="H26" s="38">
        <v>-5500</v>
      </c>
      <c r="I26" s="38">
        <v>0</v>
      </c>
      <c r="J26" s="38">
        <v>0</v>
      </c>
      <c r="K26" s="38">
        <v>0</v>
      </c>
      <c r="L26" s="38">
        <v>-5500</v>
      </c>
      <c r="M26" s="38">
        <v>-2959.9</v>
      </c>
      <c r="N26" s="39">
        <f>(IFERROR(M26/H26%,"-"))</f>
        <v>53.81636363636364</v>
      </c>
      <c r="O26" s="39">
        <f>(IFERROR(M26/L26%,"-"))</f>
        <v>53.81636363636364</v>
      </c>
      <c r="P26" s="38">
        <v>-5500</v>
      </c>
      <c r="Q26" s="38">
        <v>-2802.9</v>
      </c>
      <c r="R26" s="39">
        <f>(IFERROR(Q26/M26%,"-"))</f>
        <v>94.69576674887665</v>
      </c>
      <c r="S26" s="39">
        <f>(IFERROR(Q26/P26%,"-"))</f>
        <v>50.961818181818181</v>
      </c>
      <c r="T26" s="38">
        <v>-2660.9</v>
      </c>
      <c r="U26" s="39">
        <f t="shared" si="13"/>
        <v>94.93381854507831</v>
      </c>
      <c r="V26" s="29"/>
      <c r="W26" s="29"/>
      <c r="X26" s="17"/>
      <c r="Y26" s="17"/>
    </row>
    <row r="27" spans="1:25" ht="24" hidden="1" x14ac:dyDescent="0.25">
      <c r="A27" s="30" t="s">
        <v>33</v>
      </c>
      <c r="B27" s="28"/>
      <c r="C27" s="28">
        <v>-346934.8</v>
      </c>
      <c r="D27" s="28">
        <v>0</v>
      </c>
      <c r="E27" s="28">
        <v>228775.2</v>
      </c>
      <c r="F27" s="28">
        <v>0</v>
      </c>
      <c r="G27" s="28">
        <v>274389.80000000005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9">
        <v>0</v>
      </c>
      <c r="S27" s="39">
        <v>0</v>
      </c>
      <c r="T27" s="38">
        <v>0</v>
      </c>
      <c r="U27" s="38"/>
      <c r="V27" s="29"/>
      <c r="W27" s="29"/>
      <c r="X27" s="17"/>
      <c r="Y27" s="17"/>
    </row>
    <row r="28" spans="1:25" s="32" customFormat="1" ht="36" x14ac:dyDescent="0.2">
      <c r="A28" s="21" t="s">
        <v>34</v>
      </c>
      <c r="B28" s="22">
        <v>-156157.70000000001</v>
      </c>
      <c r="C28" s="22">
        <f>C30+C31+C32</f>
        <v>-146663.90000000002</v>
      </c>
      <c r="D28" s="22">
        <v>-321913.09999999998</v>
      </c>
      <c r="E28" s="22">
        <v>-295987.8</v>
      </c>
      <c r="F28" s="22">
        <v>-217754.3</v>
      </c>
      <c r="G28" s="22">
        <v>-126345.49999999999</v>
      </c>
      <c r="H28" s="43">
        <f>(H30+H31+H32)</f>
        <v>16893.348399999988</v>
      </c>
      <c r="I28" s="43">
        <v>-217.7543</v>
      </c>
      <c r="J28" s="43">
        <v>0.1433793959522269</v>
      </c>
      <c r="K28" s="43">
        <v>0.24711192721545289</v>
      </c>
      <c r="L28" s="43">
        <f>(L30+L31+L32)</f>
        <v>-143817.30800000002</v>
      </c>
      <c r="M28" s="43">
        <f>(M30+M31+M32)</f>
        <v>-133573.77549999999</v>
      </c>
      <c r="N28" s="41">
        <f>(IFERROR(M28/H28%,"-"))</f>
        <v>-790.68857361634764</v>
      </c>
      <c r="O28" s="41">
        <f>(IFERROR(M28/L28%,"-"))</f>
        <v>92.877399360026928</v>
      </c>
      <c r="P28" s="43">
        <f>(P30+P31+P32)</f>
        <v>-219179.69770000002</v>
      </c>
      <c r="Q28" s="43">
        <f>(Q30+Q31+Q32)</f>
        <v>-259738.76860000001</v>
      </c>
      <c r="R28" s="41">
        <f>(IFERROR(Q28/M28%,"-"))</f>
        <v>194.45341544605816</v>
      </c>
      <c r="S28" s="41">
        <f>(IFERROR(Q28/P28%,"-"))</f>
        <v>118.50493970272504</v>
      </c>
      <c r="T28" s="43">
        <f>(T30+T31+T32)</f>
        <v>-57283.80799999999</v>
      </c>
      <c r="U28" s="41">
        <f>IFERROR(T28/Q28%,"-")</f>
        <v>22.054392691842455</v>
      </c>
      <c r="V28" s="16"/>
      <c r="W28" s="16"/>
      <c r="X28" s="31"/>
      <c r="Y28" s="31"/>
    </row>
    <row r="29" spans="1:25" ht="12.75" x14ac:dyDescent="0.2">
      <c r="A29" s="18" t="s">
        <v>17</v>
      </c>
      <c r="B29" s="19" t="e">
        <f>-B28/1000/$B$37%</f>
        <v>#DIV/0!</v>
      </c>
      <c r="C29" s="19" t="e">
        <f>-C28/1000/$C$37%</f>
        <v>#DIV/0!</v>
      </c>
      <c r="D29" s="19">
        <v>-0.43788764197782765</v>
      </c>
      <c r="E29" s="19">
        <v>-0.36630204085673657</v>
      </c>
      <c r="F29" s="19">
        <v>0.23611456887578069</v>
      </c>
      <c r="G29" s="19">
        <v>0.13727655773969655</v>
      </c>
      <c r="H29" s="44">
        <f t="shared" ref="H29:M29" si="14">H28/1000/H$38%</f>
        <v>1.4622097928730309E-2</v>
      </c>
      <c r="I29" s="42" t="e">
        <f t="shared" si="14"/>
        <v>#DIV/0!</v>
      </c>
      <c r="J29" s="42" t="e">
        <f t="shared" si="14"/>
        <v>#DIV/0!</v>
      </c>
      <c r="K29" s="42" t="e">
        <f t="shared" si="14"/>
        <v>#DIV/0!</v>
      </c>
      <c r="L29" s="42">
        <f t="shared" si="14"/>
        <v>-0.11577349444144806</v>
      </c>
      <c r="M29" s="42">
        <f t="shared" si="14"/>
        <v>-0.10018433899855993</v>
      </c>
      <c r="N29" s="44"/>
      <c r="O29" s="44"/>
      <c r="P29" s="42">
        <f t="shared" ref="P29:Q29" si="15">P28/1000/P$38%</f>
        <v>-0.16501761583171465</v>
      </c>
      <c r="Q29" s="42">
        <f t="shared" si="15"/>
        <v>-0.1830680419506488</v>
      </c>
      <c r="R29" s="44"/>
      <c r="S29" s="44"/>
      <c r="T29" s="44">
        <f>T28/1000/T$38%</f>
        <v>-3.7807850151472144E-2</v>
      </c>
      <c r="U29" s="44"/>
      <c r="V29" s="20"/>
      <c r="W29" s="20"/>
      <c r="X29" s="17"/>
      <c r="Y29" s="17"/>
    </row>
    <row r="30" spans="1:25" ht="36" x14ac:dyDescent="0.2">
      <c r="A30" s="23" t="s">
        <v>35</v>
      </c>
      <c r="B30" s="28">
        <v>-46054.9</v>
      </c>
      <c r="C30" s="28">
        <v>-47369.8</v>
      </c>
      <c r="D30" s="28">
        <v>-188262.7</v>
      </c>
      <c r="E30" s="28">
        <v>-182542.2</v>
      </c>
      <c r="F30" s="28">
        <v>41043.599999999999</v>
      </c>
      <c r="G30" s="28">
        <v>40856.9</v>
      </c>
      <c r="H30" s="38">
        <v>178869.09159999999</v>
      </c>
      <c r="I30" s="38">
        <v>0</v>
      </c>
      <c r="J30" s="38">
        <v>0</v>
      </c>
      <c r="K30" s="38">
        <v>0</v>
      </c>
      <c r="L30" s="38">
        <v>35455.514900000002</v>
      </c>
      <c r="M30" s="38">
        <v>34970.487299999993</v>
      </c>
      <c r="N30" s="39">
        <f>(IFERROR(M30/H30%,"-"))</f>
        <v>19.550883267302286</v>
      </c>
      <c r="O30" s="39">
        <f>(IFERROR(M30/L30%,"-"))</f>
        <v>98.632010841280973</v>
      </c>
      <c r="P30" s="38">
        <v>-21978.743899999998</v>
      </c>
      <c r="Q30" s="38">
        <v>-21651.147399999998</v>
      </c>
      <c r="R30" s="39">
        <f>(IFERROR(Q30/M30%,"-"))</f>
        <v>-61.912627108287403</v>
      </c>
      <c r="S30" s="39">
        <f>(IFERROR(Q30/P30%,"-"))</f>
        <v>98.509484884620733</v>
      </c>
      <c r="T30" s="38">
        <v>194822.51509999999</v>
      </c>
      <c r="U30" s="39">
        <f t="shared" ref="U30:U32" si="16">IFERROR(T30/Q30%,"-")</f>
        <v>-899.82536029476205</v>
      </c>
      <c r="V30" s="29"/>
      <c r="W30" s="29"/>
      <c r="X30" s="17"/>
      <c r="Y30" s="17"/>
    </row>
    <row r="31" spans="1:25" ht="60" x14ac:dyDescent="0.2">
      <c r="A31" s="23" t="s">
        <v>36</v>
      </c>
      <c r="B31" s="28">
        <v>-25252.899999999998</v>
      </c>
      <c r="C31" s="28">
        <v>-24863</v>
      </c>
      <c r="D31" s="28">
        <v>-51195.8</v>
      </c>
      <c r="E31" s="28">
        <v>-50528.3</v>
      </c>
      <c r="F31" s="28">
        <v>-18299.900000000001</v>
      </c>
      <c r="G31" s="28">
        <v>-19999.099999999999</v>
      </c>
      <c r="H31" s="38">
        <v>77160.984099999987</v>
      </c>
      <c r="I31" s="38">
        <v>0</v>
      </c>
      <c r="J31" s="38">
        <v>0</v>
      </c>
      <c r="K31" s="38">
        <v>0</v>
      </c>
      <c r="L31" s="38">
        <v>7465.9462000000003</v>
      </c>
      <c r="M31" s="38">
        <v>73710.329400000002</v>
      </c>
      <c r="N31" s="39">
        <f>(IFERROR(M31/H31%,"-"))</f>
        <v>95.527979923729376</v>
      </c>
      <c r="O31" s="39">
        <f>(IFERROR(M31/L31%,"-"))</f>
        <v>987.28717600456321</v>
      </c>
      <c r="P31" s="38">
        <v>8878.0370000000003</v>
      </c>
      <c r="Q31" s="38">
        <v>8875.2734999999993</v>
      </c>
      <c r="R31" s="39">
        <f>(IFERROR(Q31/M31%,"-"))</f>
        <v>12.040745947338012</v>
      </c>
      <c r="S31" s="39">
        <f>(IFERROR(Q31/P31%,"-"))</f>
        <v>99.968872623531524</v>
      </c>
      <c r="T31" s="38">
        <v>7709.6767</v>
      </c>
      <c r="U31" s="39">
        <f t="shared" si="16"/>
        <v>86.866919650419803</v>
      </c>
      <c r="V31" s="29"/>
      <c r="W31" s="29"/>
      <c r="X31" s="17"/>
      <c r="Y31" s="17"/>
    </row>
    <row r="32" spans="1:25" ht="24.75" customHeight="1" x14ac:dyDescent="0.2">
      <c r="A32" s="23" t="s">
        <v>37</v>
      </c>
      <c r="B32" s="28">
        <v>-84849.9</v>
      </c>
      <c r="C32" s="28">
        <f>SUM(C34:C36)</f>
        <v>-74431.100000000006</v>
      </c>
      <c r="D32" s="28">
        <v>-82454.599999999991</v>
      </c>
      <c r="E32" s="28">
        <v>-62917.3</v>
      </c>
      <c r="F32" s="28">
        <v>-240498</v>
      </c>
      <c r="G32" s="28">
        <v>-147203.29999999999</v>
      </c>
      <c r="H32" s="38">
        <f>(H34+H35)</f>
        <v>-239136.7273</v>
      </c>
      <c r="I32" s="38">
        <v>0</v>
      </c>
      <c r="J32" s="38">
        <v>0</v>
      </c>
      <c r="K32" s="38">
        <v>0</v>
      </c>
      <c r="L32" s="38">
        <f>(L34+L35)</f>
        <v>-186738.7691</v>
      </c>
      <c r="M32" s="38">
        <f>(M34+M35)</f>
        <v>-242254.59219999998</v>
      </c>
      <c r="N32" s="39">
        <f>(IFERROR(M32/H32%,"-"))</f>
        <v>101.30380010431797</v>
      </c>
      <c r="O32" s="39">
        <f>(IFERROR(M32/L32%,"-"))</f>
        <v>129.72913625143948</v>
      </c>
      <c r="P32" s="38">
        <f>(P34+P35)</f>
        <v>-206078.99080000003</v>
      </c>
      <c r="Q32" s="38">
        <f>(Q34+Q35)</f>
        <v>-246962.8947</v>
      </c>
      <c r="R32" s="39">
        <f>(IFERROR(Q32/M32%,"-"))</f>
        <v>101.94353488090454</v>
      </c>
      <c r="S32" s="39">
        <f>(IFERROR(Q32/P32%,"-"))</f>
        <v>119.83894803700677</v>
      </c>
      <c r="T32" s="38">
        <f>(T34+T35)</f>
        <v>-259815.99979999999</v>
      </c>
      <c r="U32" s="39">
        <f t="shared" si="16"/>
        <v>105.20446811073111</v>
      </c>
      <c r="V32" s="29"/>
      <c r="W32" s="29"/>
      <c r="X32" s="17"/>
      <c r="Y32" s="17"/>
    </row>
    <row r="33" spans="1:25" ht="12.75" x14ac:dyDescent="0.2">
      <c r="A33" s="33" t="s">
        <v>38</v>
      </c>
      <c r="B33" s="24"/>
      <c r="C33" s="24"/>
      <c r="D33" s="24"/>
      <c r="E33" s="24"/>
      <c r="F33" s="24"/>
      <c r="G33" s="24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25"/>
      <c r="W33" s="25"/>
      <c r="X33" s="17"/>
      <c r="Y33" s="17"/>
    </row>
    <row r="34" spans="1:25" ht="96" x14ac:dyDescent="0.2">
      <c r="A34" s="30" t="s">
        <v>39</v>
      </c>
      <c r="B34" s="24">
        <v>-1900.5</v>
      </c>
      <c r="C34" s="24">
        <v>0</v>
      </c>
      <c r="D34" s="24">
        <v>-6350.4</v>
      </c>
      <c r="E34" s="24">
        <v>0</v>
      </c>
      <c r="F34" s="24">
        <v>-1995.9</v>
      </c>
      <c r="G34" s="24">
        <v>0</v>
      </c>
      <c r="H34" s="38">
        <v>-4540.4027999999998</v>
      </c>
      <c r="I34" s="38">
        <v>0</v>
      </c>
      <c r="J34" s="38">
        <v>0</v>
      </c>
      <c r="K34" s="38">
        <v>0</v>
      </c>
      <c r="L34" s="38">
        <v>-2895.6862000000001</v>
      </c>
      <c r="M34" s="38">
        <v>-5824.3516</v>
      </c>
      <c r="N34" s="39">
        <f>(IFERROR(M34/H34%,"-"))</f>
        <v>128.27830165200322</v>
      </c>
      <c r="O34" s="39">
        <f>(IFERROR(M34/L34%,"-"))</f>
        <v>201.13890793829799</v>
      </c>
      <c r="P34" s="38">
        <v>-8578.3894</v>
      </c>
      <c r="Q34" s="38">
        <v>-2887.3723</v>
      </c>
      <c r="R34" s="39">
        <f>(IFERROR(Q34/M34%,"-"))</f>
        <v>49.574141437477778</v>
      </c>
      <c r="S34" s="39">
        <f>(IFERROR(Q34/P34%,"-"))</f>
        <v>33.658676068027404</v>
      </c>
      <c r="T34" s="38">
        <v>-3739.5116000000003</v>
      </c>
      <c r="U34" s="39">
        <f t="shared" ref="U34:U35" si="17">IFERROR(T34/Q34%,"-")</f>
        <v>129.51262294786164</v>
      </c>
      <c r="V34" s="25"/>
      <c r="W34" s="25"/>
      <c r="X34" s="17"/>
      <c r="Y34" s="17"/>
    </row>
    <row r="35" spans="1:25" ht="24" x14ac:dyDescent="0.2">
      <c r="A35" s="30" t="s">
        <v>40</v>
      </c>
      <c r="B35" s="28">
        <v>-82949.399999999994</v>
      </c>
      <c r="C35" s="28">
        <v>-74431.100000000006</v>
      </c>
      <c r="D35" s="28">
        <v>-76104.2</v>
      </c>
      <c r="E35" s="28">
        <v>-62917.3</v>
      </c>
      <c r="F35" s="28">
        <v>-238502.1</v>
      </c>
      <c r="G35" s="28">
        <v>-147203.29999999999</v>
      </c>
      <c r="H35" s="38">
        <v>-234596.32449999999</v>
      </c>
      <c r="I35" s="38">
        <v>0</v>
      </c>
      <c r="J35" s="38">
        <v>0</v>
      </c>
      <c r="K35" s="38">
        <v>0</v>
      </c>
      <c r="L35" s="38">
        <v>-183843.08290000001</v>
      </c>
      <c r="M35" s="38">
        <v>-236430.24059999999</v>
      </c>
      <c r="N35" s="39">
        <f>(IFERROR(M35/H35%,"-"))</f>
        <v>100.78173266521061</v>
      </c>
      <c r="O35" s="39">
        <f>(IFERROR(M35/L35%,"-"))</f>
        <v>128.60437111392673</v>
      </c>
      <c r="P35" s="38">
        <v>-197500.60140000001</v>
      </c>
      <c r="Q35" s="38">
        <v>-244075.52240000002</v>
      </c>
      <c r="R35" s="39">
        <f>(IFERROR(Q35/M35%,"-"))</f>
        <v>103.23363110429455</v>
      </c>
      <c r="S35" s="39">
        <f>(IFERROR(Q35/P35%,"-"))</f>
        <v>123.58216667182261</v>
      </c>
      <c r="T35" s="38">
        <v>-256076.48819999999</v>
      </c>
      <c r="U35" s="39">
        <f t="shared" si="17"/>
        <v>104.91690673525729</v>
      </c>
      <c r="V35" s="29"/>
      <c r="W35" s="29"/>
      <c r="X35" s="17"/>
      <c r="Y35" s="17"/>
    </row>
    <row r="36" spans="1:25" ht="24" hidden="1" x14ac:dyDescent="0.25">
      <c r="A36" s="30" t="s">
        <v>41</v>
      </c>
      <c r="B36" s="28"/>
      <c r="C36" s="28"/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/>
      <c r="O36" s="28"/>
      <c r="P36" s="28">
        <v>0</v>
      </c>
      <c r="Q36" s="28">
        <v>0</v>
      </c>
      <c r="R36" s="28"/>
      <c r="S36" s="28"/>
      <c r="T36" s="28">
        <v>0</v>
      </c>
      <c r="U36" s="28"/>
      <c r="V36" s="29"/>
      <c r="W36" s="29"/>
      <c r="X36" s="17"/>
      <c r="Y36" s="17"/>
    </row>
    <row r="37" spans="1:25" x14ac:dyDescent="0.2">
      <c r="B37" s="34"/>
      <c r="C37" s="34"/>
      <c r="D37" s="34"/>
      <c r="E37" s="34"/>
      <c r="F37" s="34"/>
      <c r="G37" s="34"/>
      <c r="H37" s="34"/>
      <c r="I37" s="35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17"/>
      <c r="Y37" s="17"/>
    </row>
    <row r="38" spans="1:25" ht="12" thickBot="1" x14ac:dyDescent="0.25">
      <c r="A38" s="1" t="s">
        <v>46</v>
      </c>
      <c r="H38" s="37">
        <v>115533</v>
      </c>
      <c r="L38" s="36">
        <v>124223</v>
      </c>
      <c r="M38" s="36">
        <v>133328</v>
      </c>
      <c r="P38" s="36">
        <v>132822</v>
      </c>
      <c r="Q38" s="36">
        <v>141881</v>
      </c>
      <c r="T38" s="36">
        <v>151513</v>
      </c>
      <c r="X38" s="17"/>
      <c r="Y38" s="17"/>
    </row>
    <row r="39" spans="1:25" x14ac:dyDescent="0.2">
      <c r="I39" s="34"/>
      <c r="M39" s="34"/>
      <c r="P39" s="34"/>
      <c r="Q39" s="34"/>
      <c r="T39" s="34"/>
      <c r="X39" s="17"/>
      <c r="Y39" s="17"/>
    </row>
    <row r="40" spans="1:25" x14ac:dyDescent="0.2">
      <c r="X40" s="17"/>
      <c r="Y40" s="17"/>
    </row>
    <row r="41" spans="1:25" ht="66" customHeight="1" x14ac:dyDescent="0.2">
      <c r="X41" s="17"/>
      <c r="Y41" s="17"/>
    </row>
    <row r="42" spans="1:25" x14ac:dyDescent="0.2">
      <c r="X42" s="17"/>
      <c r="Y42" s="17"/>
    </row>
    <row r="43" spans="1:25" ht="30" customHeight="1" x14ac:dyDescent="0.2">
      <c r="X43" s="17"/>
      <c r="Y43" s="17"/>
    </row>
    <row r="44" spans="1:25" x14ac:dyDescent="0.2">
      <c r="X44" s="17"/>
      <c r="Y44" s="17"/>
    </row>
    <row r="45" spans="1:25" x14ac:dyDescent="0.2">
      <c r="X45" s="17"/>
      <c r="Y45" s="17"/>
    </row>
    <row r="46" spans="1:25" s="32" customForma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1"/>
      <c r="Y46" s="31"/>
    </row>
    <row r="47" spans="1:25" x14ac:dyDescent="0.2">
      <c r="X47" s="17"/>
      <c r="Y47" s="17"/>
    </row>
    <row r="48" spans="1:25" ht="30" customHeight="1" x14ac:dyDescent="0.2">
      <c r="X48" s="17"/>
      <c r="Y48" s="17"/>
    </row>
    <row r="49" spans="24:25" x14ac:dyDescent="0.2">
      <c r="X49" s="17"/>
      <c r="Y49" s="17"/>
    </row>
  </sheetData>
  <autoFilter ref="A6:Y36"/>
  <mergeCells count="7">
    <mergeCell ref="O1:U1"/>
    <mergeCell ref="A2:U2"/>
    <mergeCell ref="A4:A5"/>
    <mergeCell ref="H4:I4"/>
    <mergeCell ref="L4:O4"/>
    <mergeCell ref="P4:S4"/>
    <mergeCell ref="T4:U4"/>
  </mergeCells>
  <printOptions horizontalCentered="1"/>
  <pageMargins left="0.35433070866141736" right="0.19685039370078741" top="0.35433070866141736" bottom="0.27559055118110237" header="0.19685039370078741" footer="0.15748031496062992"/>
  <pageSetup paperSize="9" scale="65" fitToHeight="0" orientation="landscape" r:id="rId1"/>
  <rowBreaks count="1" manualBreakCount="1">
    <brk id="2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2019-2022</vt:lpstr>
      <vt:lpstr>'2019-2022'!Заголовки_для_печати</vt:lpstr>
      <vt:lpstr>'2019-2022'!Область_печати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Павел Владимирович</dc:creator>
  <cp:lastModifiedBy>Изотов Сергей</cp:lastModifiedBy>
  <cp:lastPrinted>2021-10-16T13:14:17Z</cp:lastPrinted>
  <dcterms:created xsi:type="dcterms:W3CDTF">2019-10-10T15:09:23Z</dcterms:created>
  <dcterms:modified xsi:type="dcterms:W3CDTF">2021-10-16T13:14:19Z</dcterms:modified>
</cp:coreProperties>
</file>