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7"/>
  <workbookPr/>
  <mc:AlternateContent xmlns:mc="http://schemas.openxmlformats.org/markup-compatibility/2006">
    <mc:Choice Requires="x15">
      <x15ac:absPath xmlns:x15ac="http://schemas.microsoft.com/office/spreadsheetml/2010/11/ac" url="/Users/shilov/Desktop/20200717/ФИНАЛ_ПРИЛОЖЕНИЯ/"/>
    </mc:Choice>
  </mc:AlternateContent>
  <xr:revisionPtr revIDLastSave="0" documentId="13_ncr:1_{097D6144-E28C-6848-967A-FD9FCFBF4D5F}" xr6:coauthVersionLast="36" xr6:coauthVersionMax="36" xr10:uidLastSave="{00000000-0000-0000-0000-000000000000}"/>
  <bookViews>
    <workbookView xWindow="1220" yWindow="460" windowWidth="23300" windowHeight="11160" xr2:uid="{00000000-000D-0000-FFFF-FFFF00000000}"/>
  </bookViews>
  <sheets>
    <sheet name="Мероприятия" sheetId="1" r:id="rId1"/>
    <sheet name="Финансирование" sheetId="19" r:id="rId2"/>
    <sheet name="БОЛИ" sheetId="4" state="hidden" r:id="rId3"/>
    <sheet name="ОСНОВНАЯ ТАБЛИЦА" sheetId="5" state="hidden" r:id="rId4"/>
    <sheet name="Процесс выполнения" sheetId="6" state="hidden" r:id="rId5"/>
    <sheet name="Словарь НП" sheetId="7" state="hidden" r:id="rId6"/>
    <sheet name="short_dict_np" sheetId="8" state="hidden" r:id="rId7"/>
    <sheet name="short_dict_fp" sheetId="9" state="hidden" r:id="rId8"/>
    <sheet name="short_dict_gp" sheetId="10" state="hidden" r:id="rId9"/>
    <sheet name="Анализ ФП" sheetId="11" state="hidden" r:id="rId10"/>
    <sheet name="Анализ НП" sheetId="12" state="hidden" r:id="rId11"/>
    <sheet name="Анализ ГП" sheetId="13" state="hidden" r:id="rId12"/>
    <sheet name="Анализ КД" sheetId="15" state="hidden" r:id="rId13"/>
    <sheet name="Анализ ФП - ГП" sheetId="16" state="hidden" r:id="rId14"/>
    <sheet name="Л" sheetId="17" state="hidden" r:id="rId15"/>
    <sheet name="Список мероприятий-индикаторов" sheetId="18" state="hidden" r:id="rId16"/>
  </sheets>
  <definedNames>
    <definedName name="_xlnm._FilterDatabase" localSheetId="0" hidden="1">Мероприятия!$A$5:$S$5</definedName>
    <definedName name="_xlnm.Print_Titles" localSheetId="0">Мероприятия!$3:$4</definedName>
  </definedNames>
  <calcPr calcId="181029"/>
</workbook>
</file>

<file path=xl/calcChain.xml><?xml version="1.0" encoding="utf-8"?>
<calcChain xmlns="http://schemas.openxmlformats.org/spreadsheetml/2006/main">
  <c r="E39" i="16" l="1"/>
  <c r="B39" i="16"/>
  <c r="J52" i="12"/>
  <c r="K52" i="12" s="1"/>
  <c r="I52" i="12"/>
  <c r="J51" i="12"/>
  <c r="K51" i="12" s="1"/>
  <c r="I51" i="12"/>
  <c r="K8" i="12"/>
  <c r="K7" i="12"/>
  <c r="K6" i="12"/>
  <c r="K5" i="12"/>
  <c r="K4" i="12"/>
  <c r="K3" i="12"/>
  <c r="K2" i="12"/>
  <c r="B22" i="6"/>
  <c r="C19" i="6"/>
  <c r="C23" i="6" s="1"/>
  <c r="B19" i="6"/>
  <c r="C22" i="6" s="1"/>
  <c r="T121" i="5"/>
  <c r="S121" i="5"/>
  <c r="R121" i="5"/>
  <c r="T120" i="5"/>
  <c r="S120" i="5"/>
  <c r="R120" i="5"/>
  <c r="T119" i="5"/>
  <c r="S119" i="5"/>
  <c r="R119" i="5"/>
  <c r="T118" i="5"/>
  <c r="S118" i="5"/>
  <c r="R118" i="5"/>
  <c r="T117" i="5"/>
  <c r="S117" i="5"/>
  <c r="R117" i="5"/>
  <c r="T116" i="5"/>
  <c r="S116" i="5"/>
  <c r="R116" i="5"/>
  <c r="T115" i="5"/>
  <c r="S115" i="5"/>
  <c r="R115" i="5"/>
  <c r="T114" i="5"/>
  <c r="S114" i="5"/>
  <c r="R114" i="5"/>
  <c r="T113" i="5"/>
  <c r="S113" i="5"/>
  <c r="R113" i="5"/>
  <c r="T112" i="5"/>
  <c r="S112" i="5"/>
  <c r="R112" i="5"/>
  <c r="T111" i="5"/>
  <c r="S111" i="5"/>
  <c r="R111" i="5"/>
  <c r="T110" i="5"/>
  <c r="S110" i="5"/>
  <c r="R110" i="5"/>
  <c r="T109" i="5"/>
  <c r="S109" i="5"/>
  <c r="R109" i="5"/>
  <c r="T108" i="5"/>
  <c r="S108" i="5"/>
  <c r="R108" i="5"/>
  <c r="T107" i="5"/>
  <c r="S107" i="5"/>
  <c r="R107" i="5"/>
  <c r="T106" i="5"/>
  <c r="S106" i="5"/>
  <c r="R106" i="5"/>
  <c r="H39" i="16" l="1"/>
  <c r="D22" i="6"/>
  <c r="A1127" i="18"/>
  <c r="A542" i="18"/>
  <c r="A548" i="18"/>
  <c r="A982" i="18"/>
  <c r="B890" i="18"/>
  <c r="A1061" i="18"/>
  <c r="A828" i="18"/>
  <c r="B452" i="18"/>
  <c r="A930" i="18"/>
  <c r="A653" i="18"/>
  <c r="A883" i="18"/>
  <c r="B1124" i="18"/>
  <c r="B1148" i="18"/>
  <c r="B710" i="18"/>
  <c r="B1067" i="18"/>
  <c r="B863" i="18"/>
  <c r="B985" i="18"/>
  <c r="B790" i="18"/>
  <c r="A1032" i="18"/>
  <c r="A616" i="18"/>
  <c r="A636" i="18"/>
  <c r="B1033" i="18"/>
  <c r="B691" i="18"/>
  <c r="A973" i="18"/>
  <c r="B1141" i="18"/>
  <c r="A1065" i="18"/>
  <c r="A745" i="18"/>
  <c r="B456" i="18"/>
  <c r="B480" i="18"/>
  <c r="B656" i="18"/>
  <c r="A791" i="18"/>
  <c r="B950" i="18"/>
  <c r="A554" i="18"/>
  <c r="A800" i="18"/>
  <c r="B321" i="18"/>
  <c r="B670" i="18"/>
  <c r="B772" i="18"/>
  <c r="B1062" i="18"/>
  <c r="B1001" i="18"/>
  <c r="B1119" i="18"/>
  <c r="A1133" i="18"/>
  <c r="B1115" i="18"/>
  <c r="B763" i="18"/>
  <c r="B519" i="18"/>
  <c r="A989" i="18"/>
  <c r="A950" i="18"/>
  <c r="A842" i="18"/>
  <c r="B1045" i="18"/>
  <c r="A1083" i="18"/>
  <c r="A1058" i="18"/>
  <c r="B222" i="18"/>
  <c r="B1055" i="18"/>
  <c r="B1111" i="18"/>
  <c r="A664" i="18"/>
  <c r="B943" i="18"/>
  <c r="A640" i="18"/>
  <c r="A1016" i="18"/>
  <c r="B1070" i="18"/>
  <c r="B583" i="18"/>
  <c r="B960" i="18"/>
  <c r="A935" i="18"/>
  <c r="A1040" i="18"/>
  <c r="A595" i="18"/>
  <c r="B538" i="18"/>
  <c r="B726" i="18"/>
  <c r="B796" i="18"/>
  <c r="A628" i="18"/>
  <c r="A942" i="18"/>
  <c r="A512" i="18"/>
  <c r="A515" i="18"/>
  <c r="B909" i="18"/>
  <c r="A1000" i="18"/>
  <c r="B865" i="18"/>
  <c r="A433" i="18"/>
  <c r="B447" i="18"/>
  <c r="B1013" i="18"/>
  <c r="A679" i="18"/>
  <c r="A952" i="18"/>
  <c r="B524" i="18"/>
  <c r="A1100" i="18"/>
  <c r="A543" i="18"/>
  <c r="A1087" i="18"/>
  <c r="B882" i="18"/>
  <c r="A937" i="18"/>
  <c r="B1137" i="18"/>
  <c r="B951" i="18"/>
  <c r="A1064" i="18"/>
  <c r="A1054" i="18"/>
  <c r="B1025" i="18"/>
  <c r="B511" i="18"/>
  <c r="B210" i="18"/>
  <c r="B836" i="18"/>
  <c r="A809" i="18"/>
  <c r="B644" i="18"/>
  <c r="A911" i="18"/>
  <c r="A742" i="18"/>
  <c r="B748" i="18"/>
  <c r="B1074" i="18"/>
  <c r="B273" i="18"/>
  <c r="A992" i="18"/>
  <c r="A532" i="18"/>
  <c r="B811" i="18"/>
  <c r="B690" i="18"/>
  <c r="B641" i="18"/>
  <c r="A1082" i="18"/>
  <c r="B1104" i="18"/>
  <c r="A774" i="18"/>
  <c r="B1152" i="18"/>
  <c r="B1056" i="18"/>
  <c r="A1056" i="18"/>
  <c r="B544" i="18"/>
  <c r="B824" i="18"/>
  <c r="B1072" i="18"/>
  <c r="A1020" i="18"/>
  <c r="B630" i="18"/>
  <c r="B150" i="18"/>
  <c r="B1092" i="18"/>
  <c r="A1097" i="18"/>
  <c r="B663" i="18"/>
  <c r="B612" i="18"/>
  <c r="A575" i="18"/>
  <c r="B1017" i="18"/>
  <c r="A1012" i="18"/>
  <c r="A786" i="18"/>
  <c r="B968" i="18"/>
  <c r="B914" i="18"/>
  <c r="B597" i="18"/>
  <c r="B257" i="18"/>
  <c r="B419" i="18"/>
  <c r="B343" i="18"/>
  <c r="A566" i="18"/>
  <c r="A334" i="18"/>
  <c r="A743" i="18"/>
  <c r="A1021" i="18"/>
  <c r="B762" i="18"/>
  <c r="A13" i="18"/>
  <c r="B37" i="18"/>
  <c r="A1142" i="18"/>
  <c r="A493" i="18"/>
  <c r="A761" i="18"/>
  <c r="B941" i="18"/>
  <c r="B598" i="18"/>
  <c r="A1050" i="18"/>
  <c r="B1091" i="18"/>
  <c r="B371" i="18"/>
  <c r="B814" i="18"/>
  <c r="B460" i="18"/>
  <c r="B1047" i="18"/>
  <c r="B1112" i="18"/>
  <c r="A984" i="18"/>
  <c r="A1139" i="18"/>
  <c r="B278" i="18"/>
  <c r="A753" i="18"/>
  <c r="B560" i="18"/>
  <c r="B1034" i="18"/>
  <c r="B446" i="18"/>
  <c r="B1042" i="18"/>
  <c r="A301" i="18"/>
  <c r="B797" i="18"/>
  <c r="B657" i="18"/>
  <c r="B59" i="12"/>
  <c r="B256" i="18"/>
  <c r="B169" i="12"/>
  <c r="B200" i="18"/>
  <c r="A951" i="18"/>
  <c r="B1007" i="18"/>
  <c r="B515" i="18"/>
  <c r="B429" i="18"/>
  <c r="A53" i="18"/>
  <c r="B414" i="18"/>
  <c r="B388" i="18"/>
  <c r="A997" i="18"/>
  <c r="B799" i="18"/>
  <c r="B566" i="18"/>
  <c r="B737" i="18"/>
  <c r="B363" i="18"/>
  <c r="A902" i="18"/>
  <c r="A655" i="18"/>
  <c r="A438" i="18"/>
  <c r="B322" i="18"/>
  <c r="B306" i="18"/>
  <c r="B910" i="18"/>
  <c r="A888" i="18"/>
  <c r="B289" i="18"/>
  <c r="B1060" i="18"/>
  <c r="B757" i="18"/>
  <c r="B622" i="18"/>
  <c r="A1080" i="18"/>
  <c r="A870" i="18"/>
  <c r="A1104" i="18"/>
  <c r="A528" i="18"/>
  <c r="B378" i="18"/>
  <c r="B632" i="18"/>
  <c r="B112" i="18"/>
  <c r="A364" i="18"/>
  <c r="B486" i="18"/>
  <c r="B851" i="18"/>
  <c r="B975" i="18"/>
  <c r="A887" i="18"/>
  <c r="A625" i="18"/>
  <c r="A876" i="18"/>
  <c r="A324" i="18"/>
  <c r="B426" i="18"/>
  <c r="A695" i="18"/>
  <c r="B453" i="18"/>
  <c r="B536" i="18"/>
  <c r="B620" i="18"/>
  <c r="A751" i="18"/>
  <c r="A592" i="18"/>
  <c r="B1128" i="18"/>
  <c r="B588" i="18"/>
  <c r="B615" i="18"/>
  <c r="A826" i="18"/>
  <c r="B672" i="18"/>
  <c r="A1151" i="18"/>
  <c r="B553" i="18"/>
  <c r="A968" i="18"/>
  <c r="B881" i="18"/>
  <c r="A483" i="18"/>
  <c r="A960" i="18"/>
  <c r="A633" i="18"/>
  <c r="A293" i="18"/>
  <c r="B235" i="18"/>
  <c r="A688" i="18"/>
  <c r="A799" i="18"/>
  <c r="A1117" i="18"/>
  <c r="A1125" i="18"/>
  <c r="B934" i="18"/>
  <c r="B217" i="18"/>
  <c r="A874" i="18"/>
  <c r="B261" i="18"/>
  <c r="A176" i="18"/>
  <c r="B26" i="18"/>
  <c r="B1151" i="18"/>
  <c r="B1138" i="18"/>
  <c r="B174" i="18"/>
  <c r="B172" i="18"/>
  <c r="A798" i="18"/>
  <c r="A507" i="18"/>
  <c r="B648" i="18"/>
  <c r="A797" i="18"/>
  <c r="A926" i="18"/>
  <c r="B584" i="18"/>
  <c r="A34" i="18"/>
  <c r="A456" i="18"/>
  <c r="B381" i="18"/>
  <c r="B152" i="12"/>
  <c r="B502" i="18"/>
  <c r="A1041" i="18"/>
  <c r="B594" i="18"/>
  <c r="B1122" i="18"/>
  <c r="B160" i="18"/>
  <c r="B167" i="18"/>
  <c r="B990" i="18"/>
  <c r="A453" i="18"/>
  <c r="B373" i="18"/>
  <c r="B856" i="18"/>
  <c r="B572" i="18"/>
  <c r="B310" i="18"/>
  <c r="A1123" i="18"/>
  <c r="B899" i="18"/>
  <c r="A871" i="18"/>
  <c r="A1114" i="18"/>
  <c r="A877" i="18"/>
  <c r="A820" i="18"/>
  <c r="B209" i="18"/>
  <c r="A1110" i="18"/>
  <c r="B786" i="18"/>
  <c r="B523" i="18"/>
  <c r="A773" i="18"/>
  <c r="B484" i="18"/>
  <c r="A632" i="18"/>
  <c r="B961" i="18"/>
  <c r="A587" i="18"/>
  <c r="B402" i="18"/>
  <c r="A641" i="18"/>
  <c r="B1068" i="18"/>
  <c r="A608" i="18"/>
  <c r="B534" i="18"/>
  <c r="A1129" i="18"/>
  <c r="A792" i="18"/>
  <c r="B592" i="18"/>
  <c r="B194" i="18"/>
  <c r="B693" i="18"/>
  <c r="A969" i="18"/>
  <c r="B516" i="18"/>
  <c r="A1084" i="18"/>
  <c r="B590" i="18"/>
  <c r="B571" i="18"/>
  <c r="A1113" i="18"/>
  <c r="B926" i="18"/>
  <c r="A635" i="18"/>
  <c r="B481" i="18"/>
  <c r="B776" i="18"/>
  <c r="A576" i="18"/>
  <c r="A738" i="18"/>
  <c r="B433" i="18"/>
  <c r="B610" i="18"/>
  <c r="B861" i="18"/>
  <c r="A1035" i="18"/>
  <c r="B987" i="18"/>
  <c r="B579" i="18"/>
  <c r="A961" i="18"/>
  <c r="B1020" i="18"/>
  <c r="B842" i="18"/>
  <c r="A305" i="18"/>
  <c r="B500" i="18"/>
  <c r="B631" i="18"/>
  <c r="B302" i="18"/>
  <c r="B1028" i="18"/>
  <c r="A919" i="18"/>
  <c r="A508" i="18"/>
  <c r="B884" i="18"/>
  <c r="A468" i="18"/>
  <c r="A728" i="18"/>
  <c r="B535" i="18"/>
  <c r="B647" i="18"/>
  <c r="A444" i="18"/>
  <c r="B145" i="18"/>
  <c r="A333" i="18"/>
  <c r="B567" i="18"/>
  <c r="A732" i="18"/>
  <c r="B996" i="18"/>
  <c r="B676" i="18"/>
  <c r="A711" i="18"/>
  <c r="A620" i="18"/>
  <c r="B586" i="18"/>
  <c r="B753" i="18"/>
  <c r="B1133" i="18"/>
  <c r="B1011" i="18"/>
  <c r="B933" i="18"/>
  <c r="A861" i="18"/>
  <c r="B1117" i="18"/>
  <c r="A642" i="18"/>
  <c r="B1053" i="18"/>
  <c r="B688" i="18"/>
  <c r="A790" i="18"/>
  <c r="B455" i="18"/>
  <c r="B832" i="18"/>
  <c r="B1015" i="18"/>
  <c r="A621" i="18"/>
  <c r="B698" i="18"/>
  <c r="A418" i="18"/>
  <c r="B767" i="18"/>
  <c r="B823" i="18"/>
  <c r="B997" i="18"/>
  <c r="B655" i="18"/>
  <c r="B604" i="18"/>
  <c r="A475" i="18"/>
  <c r="A1101" i="18"/>
  <c r="A781" i="18"/>
  <c r="B492" i="18"/>
  <c r="B548" i="18"/>
  <c r="B1048" i="18"/>
  <c r="A959" i="18"/>
  <c r="B1083" i="18"/>
  <c r="B932" i="18"/>
  <c r="A975" i="18"/>
  <c r="A536" i="18"/>
  <c r="B1097" i="18"/>
  <c r="A847" i="18"/>
  <c r="A1090" i="18"/>
  <c r="A530" i="18"/>
  <c r="B981" i="18"/>
  <c r="B917" i="18"/>
  <c r="B1105" i="18"/>
  <c r="A1033" i="18"/>
  <c r="A783" i="18"/>
  <c r="A822" i="18"/>
  <c r="A819" i="18"/>
  <c r="A770" i="18"/>
  <c r="A839" i="18"/>
  <c r="A841" i="18"/>
  <c r="B270" i="18"/>
  <c r="B226" i="18"/>
  <c r="A1069" i="18"/>
  <c r="B841" i="18"/>
  <c r="A936" i="18"/>
  <c r="A925" i="18"/>
  <c r="A675" i="18"/>
  <c r="A929" i="18"/>
  <c r="B488" i="18"/>
  <c r="B864" i="18"/>
  <c r="B437" i="18"/>
  <c r="B225" i="18"/>
  <c r="A891" i="18"/>
  <c r="B93" i="18"/>
  <c r="B1026" i="18"/>
  <c r="B852" i="18"/>
  <c r="B370" i="18"/>
  <c r="A580" i="18"/>
  <c r="B430" i="18"/>
  <c r="B153" i="18"/>
  <c r="A946" i="18"/>
  <c r="A74" i="18"/>
  <c r="A272" i="18"/>
  <c r="A829" i="18"/>
  <c r="B580" i="18"/>
  <c r="B547" i="18"/>
  <c r="A602" i="18"/>
  <c r="A618" i="18"/>
  <c r="A604" i="18"/>
  <c r="B787" i="18"/>
  <c r="A617" i="18"/>
  <c r="A884" i="18"/>
  <c r="B1134" i="18"/>
  <c r="B494" i="18"/>
  <c r="A1089" i="18"/>
  <c r="B873" i="18"/>
  <c r="A482" i="18"/>
  <c r="B686" i="18"/>
  <c r="A1030" i="18"/>
  <c r="A579" i="18"/>
  <c r="B840" i="18"/>
  <c r="B689" i="18"/>
  <c r="A574" i="18"/>
  <c r="A1108" i="18"/>
  <c r="B234" i="18"/>
  <c r="A1077" i="18"/>
  <c r="B383" i="18"/>
  <c r="A416" i="18"/>
  <c r="B214" i="18"/>
  <c r="A401" i="18"/>
  <c r="B74" i="18"/>
  <c r="A136" i="18"/>
  <c r="A787" i="18"/>
  <c r="A203" i="18"/>
  <c r="A852" i="18"/>
  <c r="B883" i="18"/>
  <c r="B643" i="18"/>
  <c r="A1072" i="18"/>
  <c r="A399" i="18"/>
  <c r="A1107" i="18"/>
  <c r="B879" i="18"/>
  <c r="B833" i="18"/>
  <c r="A723" i="18"/>
  <c r="B918" i="18"/>
  <c r="B1153" i="18"/>
  <c r="B596" i="18"/>
  <c r="A722" i="18"/>
  <c r="B338" i="18"/>
  <c r="B1064" i="18"/>
  <c r="A991" i="18"/>
  <c r="A544" i="18"/>
  <c r="A886" i="18"/>
  <c r="B781" i="18"/>
  <c r="B1012" i="18"/>
  <c r="A622" i="18"/>
  <c r="B551" i="18"/>
  <c r="A648" i="18"/>
  <c r="A1121" i="18"/>
  <c r="A801" i="18"/>
  <c r="B512" i="18"/>
  <c r="B182" i="18"/>
  <c r="B1113" i="18"/>
  <c r="B818" i="18"/>
  <c r="B1103" i="18"/>
  <c r="B846" i="18"/>
  <c r="A489" i="18"/>
  <c r="B309" i="18"/>
  <c r="A943" i="18"/>
  <c r="A762" i="18"/>
  <c r="A909" i="18"/>
  <c r="B1000" i="18"/>
  <c r="B998" i="18"/>
  <c r="B483" i="18"/>
  <c r="B815" i="18"/>
  <c r="B866" i="18"/>
  <c r="B806" i="18"/>
  <c r="B274" i="18"/>
  <c r="B468" i="18"/>
  <c r="A423" i="18"/>
  <c r="A624" i="18"/>
  <c r="A731" i="18"/>
  <c r="B1063" i="18"/>
  <c r="B504" i="18"/>
  <c r="A439" i="18"/>
  <c r="A941" i="18"/>
  <c r="A697" i="18"/>
  <c r="A927" i="18"/>
  <c r="B887" i="18"/>
  <c r="B695" i="18"/>
  <c r="B1125" i="18"/>
  <c r="A1053" i="18"/>
  <c r="A815" i="18"/>
  <c r="B575" i="18"/>
  <c r="A534" i="18"/>
  <c r="A1015" i="18"/>
  <c r="A910" i="18"/>
  <c r="A757" i="18"/>
  <c r="A716" i="18"/>
  <c r="B570" i="18"/>
  <c r="B369" i="18"/>
  <c r="B991" i="18"/>
  <c r="A788" i="18"/>
  <c r="A1134" i="18"/>
  <c r="B1084" i="18"/>
  <c r="B915" i="18"/>
  <c r="A689" i="18"/>
  <c r="B1089" i="18"/>
  <c r="B463" i="18"/>
  <c r="B653" i="18"/>
  <c r="A452" i="18"/>
  <c r="B839" i="18"/>
  <c r="A1137" i="18"/>
  <c r="B522" i="18"/>
  <c r="A816" i="18"/>
  <c r="B401" i="18"/>
  <c r="A607" i="18"/>
  <c r="B558" i="18"/>
  <c r="A795" i="18"/>
  <c r="B1046" i="18"/>
  <c r="B1057" i="18"/>
  <c r="B758" i="18"/>
  <c r="B542" i="18"/>
  <c r="B417" i="18"/>
  <c r="A827" i="18"/>
  <c r="B342" i="18"/>
  <c r="A365" i="18"/>
  <c r="A352" i="18"/>
  <c r="A1124" i="18"/>
  <c r="A972" i="18"/>
  <c r="B708" i="18"/>
  <c r="B891" i="18"/>
  <c r="B965" i="18"/>
  <c r="B664" i="18"/>
  <c r="B474" i="18"/>
  <c r="A1098" i="18"/>
  <c r="B541" i="18"/>
  <c r="A881" i="18"/>
  <c r="A966" i="18"/>
  <c r="B318" i="18"/>
  <c r="A848" i="18"/>
  <c r="A1009" i="18"/>
  <c r="A807" i="18"/>
  <c r="A563" i="18"/>
  <c r="A434" i="18"/>
  <c r="B740" i="18"/>
  <c r="A540" i="18"/>
  <c r="A690" i="18"/>
  <c r="B246" i="18"/>
  <c r="A702" i="18"/>
  <c r="B562" i="18"/>
  <c r="A687" i="18"/>
  <c r="A1005" i="18"/>
  <c r="B667" i="18"/>
  <c r="A1126" i="18"/>
  <c r="A611" i="18"/>
  <c r="B925" i="18"/>
  <c r="A813" i="18"/>
  <c r="B904" i="18"/>
  <c r="B722" i="18"/>
  <c r="A808" i="18"/>
  <c r="B760" i="18"/>
  <c r="A560" i="18"/>
  <c r="A717" i="18"/>
  <c r="A1026" i="18"/>
  <c r="B1059" i="18"/>
  <c r="B505" i="18"/>
  <c r="B162" i="18"/>
  <c r="B1009" i="18"/>
  <c r="A879" i="18"/>
  <c r="B556" i="18"/>
  <c r="A764" i="18"/>
  <c r="B816" i="18"/>
  <c r="A557" i="18"/>
  <c r="B652" i="18"/>
  <c r="A627" i="18"/>
  <c r="B510" i="18"/>
  <c r="A953" i="18"/>
  <c r="B955" i="18"/>
  <c r="A733" i="18"/>
  <c r="A1062" i="18"/>
  <c r="A535" i="18"/>
  <c r="B792" i="18"/>
  <c r="A878" i="18"/>
  <c r="B489" i="18"/>
  <c r="B129" i="12"/>
  <c r="A899" i="18"/>
  <c r="A44" i="18"/>
  <c r="B1005" i="18"/>
  <c r="B1087" i="18"/>
  <c r="A1119" i="18"/>
  <c r="A846" i="18"/>
  <c r="A85" i="18"/>
  <c r="B810" i="18"/>
  <c r="B745" i="18"/>
  <c r="B660" i="18"/>
  <c r="B946" i="18"/>
  <c r="A1044" i="18"/>
  <c r="A455" i="18"/>
  <c r="B1131" i="18"/>
  <c r="B441" i="18"/>
  <c r="A683" i="18"/>
  <c r="B1129" i="18"/>
  <c r="A684" i="18"/>
  <c r="B727" i="18"/>
  <c r="B642" i="18"/>
  <c r="B821" i="18"/>
  <c r="B1078" i="18"/>
  <c r="B1041" i="18"/>
  <c r="B1065" i="18"/>
  <c r="A814" i="18"/>
  <c r="B929" i="18"/>
  <c r="A780" i="18"/>
  <c r="B1139" i="18"/>
  <c r="B448" i="18"/>
  <c r="B825" i="18"/>
  <c r="A495" i="18"/>
  <c r="A149" i="18"/>
  <c r="A480" i="18"/>
  <c r="A186" i="18"/>
  <c r="B680" i="18"/>
  <c r="A724" i="18"/>
  <c r="B931" i="18"/>
  <c r="A778" i="18"/>
  <c r="B953" i="18"/>
  <c r="A885" i="18"/>
  <c r="B462" i="18"/>
  <c r="A498" i="18"/>
  <c r="B565" i="18"/>
  <c r="B1144" i="18"/>
  <c r="B443" i="18"/>
  <c r="A796" i="18"/>
  <c r="B867" i="18"/>
  <c r="A957" i="18"/>
  <c r="A1068" i="18"/>
  <c r="B769" i="18"/>
  <c r="B1143" i="18"/>
  <c r="B983" i="18"/>
  <c r="B853" i="18"/>
  <c r="B1093" i="18"/>
  <c r="B751" i="18"/>
  <c r="B789" i="18"/>
  <c r="A1018" i="18"/>
  <c r="B843" i="18"/>
  <c r="B700" i="18"/>
  <c r="A1028" i="18"/>
  <c r="A712" i="18"/>
  <c r="B186" i="18"/>
  <c r="A862" i="18"/>
  <c r="B1142" i="18"/>
  <c r="B619" i="18"/>
  <c r="A1001" i="18"/>
  <c r="A1025" i="18"/>
  <c r="B475" i="18"/>
  <c r="A921" i="18"/>
  <c r="B877" i="18"/>
  <c r="A998" i="18"/>
  <c r="A833" i="18"/>
  <c r="B924" i="18"/>
  <c r="B750" i="18"/>
  <c r="A638" i="18"/>
  <c r="B812" i="18"/>
  <c r="B938" i="18"/>
  <c r="A1055" i="18"/>
  <c r="B895" i="18"/>
  <c r="A763" i="18"/>
  <c r="B1006" i="18"/>
  <c r="A837" i="18"/>
  <c r="B719" i="18"/>
  <c r="B438" i="18"/>
  <c r="B989" i="18"/>
  <c r="B896" i="18"/>
  <c r="B768" i="18"/>
  <c r="B576" i="18"/>
  <c r="A802" i="18"/>
  <c r="B1039" i="18"/>
  <c r="B715" i="18"/>
  <c r="B1002" i="18"/>
  <c r="B1108" i="18"/>
  <c r="B872" i="18"/>
  <c r="B1077" i="18"/>
  <c r="B900" i="18"/>
  <c r="B1051" i="18"/>
  <c r="B942" i="18"/>
  <c r="B1029" i="18"/>
  <c r="B1086" i="18"/>
  <c r="B406" i="18"/>
  <c r="A1128" i="18"/>
  <c r="A729" i="18"/>
  <c r="A1085" i="18"/>
  <c r="A765" i="18"/>
  <c r="B476" i="18"/>
  <c r="A1140" i="18"/>
  <c r="B206" i="18"/>
  <c r="B607" i="18"/>
  <c r="B945" i="18"/>
  <c r="B754" i="18"/>
  <c r="B736" i="18"/>
  <c r="B919" i="18"/>
  <c r="A685" i="18"/>
  <c r="B582" i="18"/>
  <c r="B685" i="18"/>
  <c r="B545" i="18"/>
  <c r="B611" i="18"/>
  <c r="B721" i="18"/>
  <c r="A920" i="18"/>
  <c r="B508" i="18"/>
  <c r="B587" i="18"/>
  <c r="A872" i="18"/>
  <c r="A934" i="18"/>
  <c r="A1092" i="18"/>
  <c r="B855" i="18"/>
  <c r="B658" i="18"/>
  <c r="B213" i="18"/>
  <c r="A584" i="18"/>
  <c r="A844" i="18"/>
  <c r="A1153" i="18"/>
  <c r="B1110" i="18"/>
  <c r="B603" i="18"/>
  <c r="B1145" i="18"/>
  <c r="A880" i="18"/>
  <c r="A714" i="18"/>
  <c r="B161" i="18"/>
  <c r="A983" i="18"/>
  <c r="B552" i="18"/>
  <c r="B678" i="18"/>
  <c r="B793" i="18"/>
  <c r="B1107" i="18"/>
  <c r="B954" i="18"/>
  <c r="B305" i="18"/>
  <c r="B802" i="18"/>
  <c r="B828" i="18"/>
  <c r="A1120" i="18"/>
  <c r="B1121" i="18"/>
  <c r="A1049" i="18"/>
  <c r="A924" i="18"/>
  <c r="B503" i="18"/>
  <c r="B193" i="18"/>
  <c r="B464" i="18"/>
  <c r="B819" i="18"/>
  <c r="A904" i="18"/>
  <c r="B1076" i="18"/>
  <c r="B739" i="18"/>
  <c r="A1034" i="18"/>
  <c r="B1066" i="18"/>
  <c r="A538" i="18"/>
  <c r="A851" i="18"/>
  <c r="B442" i="18"/>
  <c r="B1054" i="18"/>
  <c r="A730" i="18"/>
  <c r="A435" i="18"/>
  <c r="B1096" i="18"/>
  <c r="A691" i="18"/>
  <c r="A643" i="18"/>
  <c r="B1037" i="18"/>
  <c r="A1023" i="18"/>
  <c r="A599" i="18"/>
  <c r="A917" i="18"/>
  <c r="B971" i="18"/>
  <c r="A693" i="18"/>
  <c r="B386" i="18"/>
  <c r="B673" i="18"/>
  <c r="B803" i="18"/>
  <c r="B913" i="18"/>
  <c r="B1075" i="18"/>
  <c r="B640" i="18"/>
  <c r="A1081" i="18"/>
  <c r="B1004" i="18"/>
  <c r="B1018" i="18"/>
  <c r="A996" i="18"/>
  <c r="A446" i="18"/>
  <c r="B858" i="18"/>
  <c r="A397" i="18"/>
  <c r="A588" i="18"/>
  <c r="B181" i="18"/>
  <c r="A704" i="18"/>
  <c r="B390" i="18"/>
  <c r="A912" i="18"/>
  <c r="B105" i="18"/>
  <c r="A370" i="18"/>
  <c r="B668" i="18"/>
  <c r="B1126" i="18"/>
  <c r="B470" i="18"/>
  <c r="B176" i="18"/>
  <c r="B297" i="18"/>
  <c r="A1122" i="18"/>
  <c r="B23" i="18"/>
  <c r="A583" i="18"/>
  <c r="A994" i="18"/>
  <c r="B238" i="18"/>
  <c r="A631" i="18"/>
  <c r="A357" i="18"/>
  <c r="A1013" i="18"/>
  <c r="A895" i="18"/>
  <c r="A970" i="18"/>
  <c r="A492" i="18"/>
  <c r="B807" i="18"/>
  <c r="A1131" i="18"/>
  <c r="B898" i="18"/>
  <c r="B1118" i="18"/>
  <c r="A680" i="18"/>
  <c r="B1101" i="18"/>
  <c r="B759" i="18"/>
  <c r="B777" i="18"/>
  <c r="B785" i="18"/>
  <c r="B245" i="18"/>
  <c r="A681" i="18"/>
  <c r="B122" i="12"/>
  <c r="B454" i="18"/>
  <c r="A612" i="18"/>
  <c r="A1094" i="18"/>
  <c r="B608" i="18"/>
  <c r="B717" i="18"/>
  <c r="B1079" i="18"/>
  <c r="B149" i="18"/>
  <c r="B76" i="18"/>
  <c r="A448" i="18"/>
  <c r="A345" i="18"/>
  <c r="B432" i="18"/>
  <c r="B679" i="18"/>
  <c r="B1140" i="18"/>
  <c r="B439" i="18"/>
  <c r="A1067" i="18"/>
  <c r="A461" i="18"/>
  <c r="B617" i="18"/>
  <c r="A818" i="18"/>
  <c r="A993" i="18"/>
  <c r="A1031" i="18"/>
  <c r="B1109" i="18"/>
  <c r="A777" i="18"/>
  <c r="B868" i="18"/>
  <c r="B674" i="18"/>
  <c r="B706" i="18"/>
  <c r="A707" i="18"/>
  <c r="A569" i="18"/>
  <c r="B813" i="18"/>
  <c r="B646" i="18"/>
  <c r="A894" i="18"/>
  <c r="A450" i="18"/>
  <c r="A740" i="18"/>
  <c r="A463" i="18"/>
  <c r="B876" i="18"/>
  <c r="A389" i="18"/>
  <c r="B973" i="18"/>
  <c r="B1014" i="18"/>
  <c r="A908" i="18"/>
  <c r="B221" i="18"/>
  <c r="B42" i="18"/>
  <c r="B6" i="18"/>
  <c r="B472" i="18"/>
  <c r="A1017" i="18"/>
  <c r="A913" i="18"/>
  <c r="A811" i="18"/>
  <c r="A916" i="18"/>
  <c r="B980" i="18"/>
  <c r="A593" i="18"/>
  <c r="A863" i="18"/>
  <c r="A990" i="18"/>
  <c r="A956" i="18"/>
  <c r="B540" i="18"/>
  <c r="A744" i="18"/>
  <c r="B614" i="18"/>
  <c r="B337" i="18"/>
  <c r="A603" i="18"/>
  <c r="A513" i="18"/>
  <c r="A1135" i="18"/>
  <c r="B1061" i="18"/>
  <c r="B728" i="18"/>
  <c r="B356" i="18"/>
  <c r="A232" i="18"/>
  <c r="A319" i="18"/>
  <c r="B173" i="18"/>
  <c r="B311" i="18"/>
  <c r="B520" i="18"/>
  <c r="A1036" i="18"/>
  <c r="B970" i="18"/>
  <c r="B69" i="18"/>
  <c r="A89" i="18"/>
  <c r="B62" i="18"/>
  <c r="B152" i="18"/>
  <c r="B749" i="18"/>
  <c r="A384" i="18"/>
  <c r="A509" i="18"/>
  <c r="A1149" i="18"/>
  <c r="A335" i="18"/>
  <c r="B74" i="12"/>
  <c r="B251" i="18"/>
  <c r="A686" i="18"/>
  <c r="A892" i="18"/>
  <c r="B977" i="18"/>
  <c r="B574" i="18"/>
  <c r="B16" i="18"/>
  <c r="A469" i="18"/>
  <c r="B880" i="18"/>
  <c r="B191" i="18"/>
  <c r="A429" i="18"/>
  <c r="A626" i="18"/>
  <c r="A1152" i="18"/>
  <c r="B1038" i="18"/>
  <c r="B957" i="18"/>
  <c r="A889" i="18"/>
  <c r="A487" i="18"/>
  <c r="A663" i="18"/>
  <c r="B826" i="18"/>
  <c r="A1003" i="18"/>
  <c r="A1007" i="18"/>
  <c r="B473" i="18"/>
  <c r="A125" i="18"/>
  <c r="A662" i="18"/>
  <c r="A967" i="18"/>
  <c r="B791" i="18"/>
  <c r="B780" i="18"/>
  <c r="A586" i="18"/>
  <c r="B944" i="18"/>
  <c r="A531" i="18"/>
  <c r="B1116" i="18"/>
  <c r="A547" i="18"/>
  <c r="A739" i="18"/>
  <c r="A979" i="18"/>
  <c r="A857" i="18"/>
  <c r="A748" i="18"/>
  <c r="A660" i="18"/>
  <c r="B189" i="18"/>
  <c r="B966" i="18"/>
  <c r="A933" i="18"/>
  <c r="B923" i="18"/>
  <c r="A404" i="18"/>
  <c r="A182" i="18"/>
  <c r="B701" i="18"/>
  <c r="B694" i="18"/>
  <c r="B202" i="18"/>
  <c r="A310" i="18"/>
  <c r="A734" i="18"/>
  <c r="B986" i="18"/>
  <c r="A21" i="18"/>
  <c r="B286" i="18"/>
  <c r="B1019" i="18"/>
  <c r="B1069" i="18"/>
  <c r="A854" i="18"/>
  <c r="A287" i="18"/>
  <c r="A1096" i="18"/>
  <c r="B625" i="18"/>
  <c r="B335" i="18"/>
  <c r="A849" i="18"/>
  <c r="B416" i="18"/>
  <c r="B477" i="18"/>
  <c r="A867" i="18"/>
  <c r="A403" i="18"/>
  <c r="B1003" i="18"/>
  <c r="A126" i="18"/>
  <c r="B112" i="12"/>
  <c r="A122" i="18"/>
  <c r="A523" i="18"/>
  <c r="A755" i="18"/>
  <c r="B969" i="18"/>
  <c r="A296" i="18"/>
  <c r="B72" i="18"/>
  <c r="B837" i="18"/>
  <c r="B894" i="18"/>
  <c r="A1103" i="18"/>
  <c r="A519" i="18"/>
  <c r="A905" i="18"/>
  <c r="A741" i="18"/>
  <c r="A201" i="18"/>
  <c r="B1049" i="18"/>
  <c r="B589" i="18"/>
  <c r="A443" i="18"/>
  <c r="A501" i="18"/>
  <c r="A708" i="18"/>
  <c r="A630" i="18"/>
  <c r="B902" i="18"/>
  <c r="B564" i="18"/>
  <c r="B885" i="18"/>
  <c r="A243" i="18"/>
  <c r="B187" i="18"/>
  <c r="B242" i="18"/>
  <c r="A436" i="18"/>
  <c r="A98" i="18"/>
  <c r="A327" i="18"/>
  <c r="A80" i="18"/>
  <c r="B299" i="18"/>
  <c r="B697" i="18"/>
  <c r="B543" i="18"/>
  <c r="A652" i="18"/>
  <c r="B888" i="18"/>
  <c r="A718" i="18"/>
  <c r="A476" i="18"/>
  <c r="B1102" i="18"/>
  <c r="B351" i="18"/>
  <c r="A598" i="18"/>
  <c r="B1123" i="18"/>
  <c r="A615" i="18"/>
  <c r="B684" i="18"/>
  <c r="B1032" i="18"/>
  <c r="A1060" i="18"/>
  <c r="A962" i="18"/>
  <c r="B525" i="18"/>
  <c r="B231" i="18"/>
  <c r="A392" i="18"/>
  <c r="A918" i="18"/>
  <c r="B539" i="18"/>
  <c r="B958" i="18"/>
  <c r="B170" i="18"/>
  <c r="B326" i="18"/>
  <c r="A297" i="18"/>
  <c r="A591" i="18"/>
  <c r="A261" i="18"/>
  <c r="B773" i="18"/>
  <c r="B115" i="18"/>
  <c r="B33" i="18"/>
  <c r="A486" i="18"/>
  <c r="B952" i="18"/>
  <c r="B137" i="18"/>
  <c r="A1006" i="18"/>
  <c r="A166" i="18"/>
  <c r="A784" i="18"/>
  <c r="B513" i="18"/>
  <c r="A1086" i="18"/>
  <c r="B199" i="18"/>
  <c r="A188" i="18"/>
  <c r="B94" i="12"/>
  <c r="A735" i="18"/>
  <c r="A537" i="18"/>
  <c r="B276" i="18"/>
  <c r="B568" i="18"/>
  <c r="B281" i="18"/>
  <c r="A253" i="18"/>
  <c r="A605" i="18"/>
  <c r="B949" i="18"/>
  <c r="B431" i="18"/>
  <c r="B907" i="18"/>
  <c r="B163" i="18"/>
  <c r="B35" i="18"/>
  <c r="A172" i="18"/>
  <c r="A875" i="18"/>
  <c r="A836" i="18"/>
  <c r="A398" i="18"/>
  <c r="B869" i="18"/>
  <c r="B173" i="12"/>
  <c r="B696" i="18"/>
  <c r="A503" i="18"/>
  <c r="B809" i="18"/>
  <c r="B409" i="18"/>
  <c r="B249" i="18"/>
  <c r="B138" i="18"/>
  <c r="A216" i="18"/>
  <c r="A249" i="18"/>
  <c r="B77" i="18"/>
  <c r="A241" i="18"/>
  <c r="B130" i="12"/>
  <c r="B54" i="18"/>
  <c r="A562" i="18"/>
  <c r="B27" i="18"/>
  <c r="B408" i="18"/>
  <c r="B838" i="18"/>
  <c r="A274" i="18"/>
  <c r="A651" i="18"/>
  <c r="A141" i="18"/>
  <c r="B905" i="18"/>
  <c r="A202" i="18"/>
  <c r="A412" i="18"/>
  <c r="B800" i="18"/>
  <c r="B323" i="18"/>
  <c r="A360" i="18"/>
  <c r="A16" i="18"/>
  <c r="A1037" i="18"/>
  <c r="A914" i="18"/>
  <c r="A275" i="18"/>
  <c r="A506" i="18"/>
  <c r="A670" i="18"/>
  <c r="A407" i="18"/>
  <c r="A268" i="18"/>
  <c r="B681" i="18"/>
  <c r="B348" i="18"/>
  <c r="A947" i="18"/>
  <c r="A1073" i="18"/>
  <c r="A110" i="18"/>
  <c r="B150" i="12"/>
  <c r="B616" i="18"/>
  <c r="B159" i="18"/>
  <c r="B345" i="18"/>
  <c r="A247" i="18"/>
  <c r="A577" i="18"/>
  <c r="B50" i="18"/>
  <c r="A254" i="18"/>
  <c r="B99" i="12"/>
  <c r="B374" i="18"/>
  <c r="B422" i="18"/>
  <c r="A931" i="18"/>
  <c r="A590" i="18"/>
  <c r="B154" i="18"/>
  <c r="A656" i="18"/>
  <c r="B559" i="18"/>
  <c r="A922" i="18"/>
  <c r="B393" i="18"/>
  <c r="B396" i="18"/>
  <c r="B65" i="18"/>
  <c r="A1078" i="18"/>
  <c r="A505" i="18"/>
  <c r="A378" i="18"/>
  <c r="B1071" i="18"/>
  <c r="A785" i="18"/>
  <c r="A805" i="18"/>
  <c r="A473" i="18"/>
  <c r="A756" i="18"/>
  <c r="B332" i="18"/>
  <c r="A127" i="18"/>
  <c r="A206" i="18"/>
  <c r="B1106" i="18"/>
  <c r="B304" i="18"/>
  <c r="A266" i="18"/>
  <c r="B835" i="18"/>
  <c r="A302" i="18"/>
  <c r="B761" i="18"/>
  <c r="A511" i="18"/>
  <c r="B554" i="18"/>
  <c r="B165" i="12"/>
  <c r="A1046" i="18"/>
  <c r="A164" i="18"/>
  <c r="A295" i="18"/>
  <c r="A102" i="18"/>
  <c r="A858" i="18"/>
  <c r="A303" i="18"/>
  <c r="B95" i="18"/>
  <c r="A64" i="18"/>
  <c r="B66" i="18"/>
  <c r="A1043" i="18"/>
  <c r="A199" i="18"/>
  <c r="B82" i="12"/>
  <c r="B404" i="18"/>
  <c r="A331" i="18"/>
  <c r="A14" i="18"/>
  <c r="B788" i="18"/>
  <c r="A882" i="18"/>
  <c r="B529" i="18"/>
  <c r="A964" i="18"/>
  <c r="A72" i="18"/>
  <c r="B44" i="18"/>
  <c r="B901" i="18"/>
  <c r="B517" i="18"/>
  <c r="B124" i="18"/>
  <c r="A517" i="18"/>
  <c r="B119" i="12"/>
  <c r="B224" i="18"/>
  <c r="B149" i="12"/>
  <c r="B88" i="18"/>
  <c r="A5" i="18"/>
  <c r="A610" i="18"/>
  <c r="A68" i="18"/>
  <c r="A855" i="18"/>
  <c r="A772" i="18"/>
  <c r="B937" i="18"/>
  <c r="A9" i="18"/>
  <c r="A597" i="18"/>
  <c r="A898" i="18"/>
  <c r="A1088" i="18"/>
  <c r="B136" i="12"/>
  <c r="B531" i="18"/>
  <c r="B312" i="18"/>
  <c r="B250" i="18"/>
  <c r="B55" i="18"/>
  <c r="B145" i="12"/>
  <c r="B1021" i="18"/>
  <c r="B85" i="18"/>
  <c r="A78" i="18"/>
  <c r="A1143" i="18"/>
  <c r="B628" i="18"/>
  <c r="A132" i="18"/>
  <c r="A510" i="18"/>
  <c r="A20" i="18"/>
  <c r="A244" i="18"/>
  <c r="A856" i="18"/>
  <c r="B692" i="18"/>
  <c r="B742" i="18"/>
  <c r="A613" i="18"/>
  <c r="B83" i="18"/>
  <c r="B197" i="18"/>
  <c r="A1130" i="18"/>
  <c r="B135" i="18"/>
  <c r="A1002" i="18"/>
  <c r="A356" i="18"/>
  <c r="B939" i="18"/>
  <c r="A263" i="18"/>
  <c r="B817" i="18"/>
  <c r="B29" i="18"/>
  <c r="B609" i="18"/>
  <c r="A634" i="18"/>
  <c r="B153" i="12"/>
  <c r="A183" i="18"/>
  <c r="A195" i="18"/>
  <c r="B167" i="12"/>
  <c r="B284" i="18"/>
  <c r="B215" i="18"/>
  <c r="B203" i="18"/>
  <c r="B106" i="12"/>
  <c r="B779" i="18"/>
  <c r="A484" i="18"/>
  <c r="A320" i="18"/>
  <c r="A1074" i="18"/>
  <c r="A1027" i="18"/>
  <c r="B109" i="12"/>
  <c r="B507" i="18"/>
  <c r="B434" i="18"/>
  <c r="B518" i="18"/>
  <c r="A698" i="18"/>
  <c r="B113" i="18"/>
  <c r="B491" i="18"/>
  <c r="B964" i="18"/>
  <c r="B928" i="18"/>
  <c r="A264" i="18"/>
  <c r="B733" i="18"/>
  <c r="A654" i="18"/>
  <c r="B766" i="18"/>
  <c r="B361" i="18"/>
  <c r="A294" i="18"/>
  <c r="A658" i="18"/>
  <c r="B687" i="18"/>
  <c r="A458" i="18"/>
  <c r="A706" i="18"/>
  <c r="B875" i="18"/>
  <c r="A533" i="18"/>
  <c r="A342" i="18"/>
  <c r="B886" i="18"/>
  <c r="A504" i="18"/>
  <c r="B78" i="18"/>
  <c r="B99" i="18"/>
  <c r="B25" i="18"/>
  <c r="B783" i="18"/>
  <c r="B550" i="18"/>
  <c r="A629" i="18"/>
  <c r="A666" i="18"/>
  <c r="A408" i="18"/>
  <c r="B530" i="18"/>
  <c r="B111" i="18"/>
  <c r="A514" i="18"/>
  <c r="B162" i="12"/>
  <c r="B178" i="12"/>
  <c r="B147" i="12"/>
  <c r="B377" i="18"/>
  <c r="B166" i="18"/>
  <c r="A834" i="18"/>
  <c r="A457" i="18"/>
  <c r="A430" i="18"/>
  <c r="B778" i="18"/>
  <c r="B277" i="18"/>
  <c r="B1010" i="18"/>
  <c r="B682" i="18"/>
  <c r="A256" i="18"/>
  <c r="B372" i="18"/>
  <c r="B22" i="18"/>
  <c r="A62" i="18"/>
  <c r="B920" i="18"/>
  <c r="B860" i="18"/>
  <c r="A866" i="18"/>
  <c r="B175" i="18"/>
  <c r="B122" i="18"/>
  <c r="B921" i="18"/>
  <c r="B104" i="12"/>
  <c r="B827" i="18"/>
  <c r="B756" i="18"/>
  <c r="A759" i="18"/>
  <c r="A1145" i="18"/>
  <c r="A375" i="18"/>
  <c r="B805" i="18"/>
  <c r="A368" i="18"/>
  <c r="A494" i="18"/>
  <c r="A825" i="18"/>
  <c r="B850" i="18"/>
  <c r="A348" i="18"/>
  <c r="B103" i="12"/>
  <c r="A103" i="18"/>
  <c r="B532" i="18"/>
  <c r="A661" i="18"/>
  <c r="B375" i="18"/>
  <c r="A437" i="18"/>
  <c r="A821" i="18"/>
  <c r="B1146" i="18"/>
  <c r="B984" i="18"/>
  <c r="B52" i="18"/>
  <c r="B129" i="18"/>
  <c r="A191" i="18"/>
  <c r="B350" i="18"/>
  <c r="B847" i="18"/>
  <c r="B704" i="18"/>
  <c r="A1148" i="18"/>
  <c r="B724" i="18"/>
  <c r="A83" i="18"/>
  <c r="B157" i="18"/>
  <c r="B1022" i="18"/>
  <c r="B98" i="12"/>
  <c r="B258" i="18"/>
  <c r="B334" i="18"/>
  <c r="B935" i="18"/>
  <c r="B1099" i="18"/>
  <c r="B192" i="18"/>
  <c r="B144" i="18"/>
  <c r="A462" i="18"/>
  <c r="B994" i="18"/>
  <c r="A893" i="18"/>
  <c r="B21" i="18"/>
  <c r="A1014" i="18"/>
  <c r="A672" i="18"/>
  <c r="A107" i="18"/>
  <c r="B798" i="18"/>
  <c r="A721" i="18"/>
  <c r="A561" i="18"/>
  <c r="B418" i="18"/>
  <c r="B501" i="18"/>
  <c r="A775" i="18"/>
  <c r="A11" i="18"/>
  <c r="B269" i="18"/>
  <c r="B854" i="18"/>
  <c r="A673" i="18"/>
  <c r="A1019" i="18"/>
  <c r="A77" i="18"/>
  <c r="A251" i="18"/>
  <c r="B830" i="18"/>
  <c r="B121" i="18"/>
  <c r="A50" i="18"/>
  <c r="A637" i="18"/>
  <c r="A715" i="18"/>
  <c r="B177" i="12"/>
  <c r="B102" i="12"/>
  <c r="B308" i="18"/>
  <c r="A205" i="18"/>
  <c r="B662" i="18"/>
  <c r="B131" i="12"/>
  <c r="A803" i="18"/>
  <c r="B699" i="18"/>
  <c r="B97" i="18"/>
  <c r="A650" i="18"/>
  <c r="B637" i="18"/>
  <c r="A657" i="18"/>
  <c r="B382" i="18"/>
  <c r="A720" i="18"/>
  <c r="B624" i="18"/>
  <c r="B1044" i="18"/>
  <c r="B521" i="18"/>
  <c r="B1016" i="18"/>
  <c r="A255" i="18"/>
  <c r="B179" i="18"/>
  <c r="B164" i="12"/>
  <c r="A12" i="18"/>
  <c r="B93" i="12"/>
  <c r="A109" i="18"/>
  <c r="B912" i="18"/>
  <c r="B368" i="18"/>
  <c r="B113" i="12"/>
  <c r="A347" i="18"/>
  <c r="A174" i="18"/>
  <c r="A90" i="18"/>
  <c r="B962" i="18"/>
  <c r="B1080" i="18"/>
  <c r="A19" i="18"/>
  <c r="A120" i="18"/>
  <c r="B171" i="18"/>
  <c r="B859" i="18"/>
  <c r="B141" i="18"/>
  <c r="A868" i="18"/>
  <c r="A427" i="18"/>
  <c r="B908" i="18"/>
  <c r="B154" i="12"/>
  <c r="A649" i="18"/>
  <c r="A609" i="18"/>
  <c r="B581" i="18"/>
  <c r="A499" i="18"/>
  <c r="A118" i="18"/>
  <c r="B157" i="12"/>
  <c r="B765" i="18"/>
  <c r="A497" i="18"/>
  <c r="B995" i="18"/>
  <c r="A42" i="18"/>
  <c r="B53" i="18"/>
  <c r="B266" i="18"/>
  <c r="A116" i="18"/>
  <c r="B62" i="12"/>
  <c r="A96" i="18"/>
  <c r="A572" i="18"/>
  <c r="A316" i="18"/>
  <c r="A850" i="18"/>
  <c r="B300" i="18"/>
  <c r="B219" i="18"/>
  <c r="A373" i="18"/>
  <c r="A63" i="18"/>
  <c r="B354" i="18"/>
  <c r="A238" i="18"/>
  <c r="B80" i="18"/>
  <c r="B339" i="18"/>
  <c r="A906" i="18"/>
  <c r="A219" i="18"/>
  <c r="A325" i="18"/>
  <c r="B413" i="18"/>
  <c r="A447" i="18"/>
  <c r="B4" i="18"/>
  <c r="A43" i="18"/>
  <c r="B635" i="18"/>
  <c r="A45" i="18"/>
  <c r="A570" i="18"/>
  <c r="A15" i="18"/>
  <c r="B723" i="18"/>
  <c r="A257" i="18"/>
  <c r="A915" i="18"/>
  <c r="A129" i="18"/>
  <c r="A104" i="18"/>
  <c r="A1132" i="18"/>
  <c r="B14" i="18"/>
  <c r="A343" i="18"/>
  <c r="A258" i="18"/>
  <c r="A349" i="18"/>
  <c r="B31" i="18"/>
  <c r="A794" i="18"/>
  <c r="A179" i="18"/>
  <c r="A168" i="18"/>
  <c r="B147" i="18"/>
  <c r="B92" i="18"/>
  <c r="B738" i="18"/>
  <c r="A211" i="18"/>
  <c r="B498" i="18"/>
  <c r="B248" i="18"/>
  <c r="B75" i="18"/>
  <c r="A7" i="18"/>
  <c r="A451" i="18"/>
  <c r="A700" i="18"/>
  <c r="B160" i="12"/>
  <c r="B17" i="18"/>
  <c r="A354" i="18"/>
  <c r="A479" i="18"/>
  <c r="B223" i="18"/>
  <c r="A161" i="18"/>
  <c r="A999" i="18"/>
  <c r="A413" i="18"/>
  <c r="B95" i="12"/>
  <c r="A189" i="18"/>
  <c r="A1076" i="18"/>
  <c r="A752" i="18"/>
  <c r="B140" i="12"/>
  <c r="B411" i="18"/>
  <c r="A151" i="18"/>
  <c r="B659" i="18"/>
  <c r="B188" i="18"/>
  <c r="B96" i="12"/>
  <c r="A217" i="18"/>
  <c r="B30" i="18"/>
  <c r="B357" i="18"/>
  <c r="B43" i="18"/>
  <c r="B629" i="18"/>
  <c r="A419" i="18"/>
  <c r="B61" i="12"/>
  <c r="B117" i="18"/>
  <c r="A388" i="18"/>
  <c r="A725" i="18"/>
  <c r="B294" i="18"/>
  <c r="A645" i="18"/>
  <c r="B557" i="18"/>
  <c r="A564" i="18"/>
  <c r="B36" i="18"/>
  <c r="E22" i="6"/>
  <c r="A869" i="18"/>
  <c r="B671" i="18"/>
  <c r="B1027" i="18"/>
  <c r="B711" i="18"/>
  <c r="B599" i="18"/>
  <c r="B487" i="18"/>
  <c r="A1095" i="18"/>
  <c r="B497" i="18"/>
  <c r="B528" i="18"/>
  <c r="A986" i="18"/>
  <c r="A193" i="18"/>
  <c r="B527" i="18"/>
  <c r="A985" i="18"/>
  <c r="A358" i="18"/>
  <c r="B90" i="12"/>
  <c r="B555" i="18"/>
  <c r="A237" i="18"/>
  <c r="B236" i="18"/>
  <c r="B405" i="18"/>
  <c r="A668" i="18"/>
  <c r="B467" i="18"/>
  <c r="A981" i="18"/>
  <c r="B1024" i="18"/>
  <c r="B712" i="18"/>
  <c r="B207" i="18"/>
  <c r="B185" i="18"/>
  <c r="A477" i="18"/>
  <c r="A1075" i="18"/>
  <c r="B911" i="18"/>
  <c r="B999" i="18"/>
  <c r="A646" i="18"/>
  <c r="A377" i="18"/>
  <c r="B296" i="18"/>
  <c r="A804" i="18"/>
  <c r="A79" i="18"/>
  <c r="A6" i="18"/>
  <c r="B730" i="18"/>
  <c r="B253" i="18"/>
  <c r="B822" i="18"/>
  <c r="B893" i="18"/>
  <c r="A396" i="18"/>
  <c r="A46" i="18"/>
  <c r="A1070" i="18"/>
  <c r="A949" i="18"/>
  <c r="B974" i="18"/>
  <c r="A524" i="18"/>
  <c r="A1116" i="18"/>
  <c r="A200" i="18"/>
  <c r="A771" i="18"/>
  <c r="A980" i="18"/>
  <c r="A1051" i="18"/>
  <c r="B982" i="18"/>
  <c r="B600" i="18"/>
  <c r="A1106" i="18"/>
  <c r="A823" i="18"/>
  <c r="B301" i="18"/>
  <c r="B211" i="18"/>
  <c r="A449" i="18"/>
  <c r="A568" i="18"/>
  <c r="A1111" i="18"/>
  <c r="B927" i="18"/>
  <c r="B410" i="18"/>
  <c r="B775" i="18"/>
  <c r="B247" i="18"/>
  <c r="A374" i="18"/>
  <c r="B705" i="18"/>
  <c r="A527" i="18"/>
  <c r="A754" i="18"/>
  <c r="B151" i="12"/>
  <c r="A488" i="18"/>
  <c r="A425" i="18"/>
  <c r="A140" i="18"/>
  <c r="A1052" i="18"/>
  <c r="A1071" i="18"/>
  <c r="B831" i="18"/>
  <c r="A1146" i="18"/>
  <c r="A539" i="18"/>
  <c r="B201" i="18"/>
  <c r="B20" i="18"/>
  <c r="A747" i="18"/>
  <c r="A665" i="18"/>
  <c r="A864" i="18"/>
  <c r="B341" i="18"/>
  <c r="A1004" i="18"/>
  <c r="A897" i="18"/>
  <c r="B212" i="18"/>
  <c r="B156" i="18"/>
  <c r="B125" i="18"/>
  <c r="B51" i="18"/>
  <c r="B669" i="18"/>
  <c r="A667" i="18"/>
  <c r="A1047" i="18"/>
  <c r="A490" i="18"/>
  <c r="A1042" i="18"/>
  <c r="B747" i="18"/>
  <c r="A601" i="18"/>
  <c r="B317" i="18"/>
  <c r="A769" i="18"/>
  <c r="B168" i="12"/>
  <c r="A465" i="18"/>
  <c r="B420" i="18"/>
  <c r="B506" i="18"/>
  <c r="B1052" i="18"/>
  <c r="B58" i="18"/>
  <c r="B490" i="18"/>
  <c r="A160" i="18"/>
  <c r="B732" i="18"/>
  <c r="B123" i="12"/>
  <c r="B186" i="12"/>
  <c r="A338" i="18"/>
  <c r="A390" i="18"/>
  <c r="B83" i="12"/>
  <c r="A830" i="18"/>
  <c r="A424" i="18"/>
  <c r="A386" i="18"/>
  <c r="A1066" i="18"/>
  <c r="B593" i="18"/>
  <c r="E23" i="6"/>
  <c r="B63" i="12"/>
  <c r="A459" i="18"/>
  <c r="A1010" i="18"/>
  <c r="A298" i="18"/>
  <c r="A470" i="18"/>
  <c r="A190" i="18"/>
  <c r="A694" i="18"/>
  <c r="B384" i="18"/>
  <c r="B465" i="18"/>
  <c r="A901" i="18"/>
  <c r="A220" i="18"/>
  <c r="B967" i="18"/>
  <c r="A51" i="18"/>
  <c r="A727" i="18"/>
  <c r="A409" i="18"/>
  <c r="B295" i="18"/>
  <c r="B423" i="18"/>
  <c r="B134" i="12"/>
  <c r="A137" i="18"/>
  <c r="B892" i="18"/>
  <c r="B98" i="18"/>
  <c r="A414" i="18"/>
  <c r="B67" i="12"/>
  <c r="A525" i="18"/>
  <c r="B288" i="18"/>
  <c r="B229" i="18"/>
  <c r="A678" i="18"/>
  <c r="B325" i="18"/>
  <c r="A351" i="18"/>
  <c r="B254" i="18"/>
  <c r="B94" i="18"/>
  <c r="B126" i="12"/>
  <c r="B89" i="12"/>
  <c r="A974" i="18"/>
  <c r="A121" i="18"/>
  <c r="B329" i="18"/>
  <c r="A277" i="18"/>
  <c r="A197" i="18"/>
  <c r="B677" i="18"/>
  <c r="B713" i="18"/>
  <c r="B123" i="18"/>
  <c r="B1082" i="18"/>
  <c r="A812" i="18"/>
  <c r="B804" i="18"/>
  <c r="B5" i="18"/>
  <c r="A571" i="18"/>
  <c r="B307" i="18"/>
  <c r="B862" i="18"/>
  <c r="B848" i="18"/>
  <c r="A323" i="18"/>
  <c r="B331" i="18"/>
  <c r="B703" i="18"/>
  <c r="A148" i="18"/>
  <c r="A565" i="18"/>
  <c r="B67" i="18"/>
  <c r="B267" i="18"/>
  <c r="A233" i="18"/>
  <c r="B110" i="12"/>
  <c r="B1073" i="18"/>
  <c r="A350" i="18"/>
  <c r="B1040" i="18"/>
  <c r="A478" i="18"/>
  <c r="A225" i="18"/>
  <c r="A285" i="18"/>
  <c r="A262" i="18"/>
  <c r="A1045" i="18"/>
  <c r="B9" i="18"/>
  <c r="A99" i="18"/>
  <c r="B478" i="18"/>
  <c r="A326" i="18"/>
  <c r="A58" i="18"/>
  <c r="A332" i="18"/>
  <c r="A317" i="18"/>
  <c r="A860" i="18"/>
  <c r="B183" i="18"/>
  <c r="B469" i="18"/>
  <c r="A768" i="18"/>
  <c r="B782" i="18"/>
  <c r="B466" i="18"/>
  <c r="B49" i="18"/>
  <c r="B471" i="18"/>
  <c r="A312" i="18"/>
  <c r="A659" i="18"/>
  <c r="B633" i="18"/>
  <c r="A1008" i="18"/>
  <c r="B347" i="18"/>
  <c r="B395" i="18"/>
  <c r="A1109" i="18"/>
  <c r="A393" i="18"/>
  <c r="B1036" i="18"/>
  <c r="A38" i="18"/>
  <c r="B243" i="18"/>
  <c r="B533" i="18"/>
  <c r="A750" i="18"/>
  <c r="B397" i="18"/>
  <c r="B613" i="18"/>
  <c r="A382" i="18"/>
  <c r="B73" i="18"/>
  <c r="A175" i="18"/>
  <c r="B752" i="18"/>
  <c r="A1038" i="18"/>
  <c r="B13" i="18"/>
  <c r="B233" i="18"/>
  <c r="A283" i="18"/>
  <c r="B399" i="18"/>
  <c r="B623" i="18"/>
  <c r="B734" i="18"/>
  <c r="A4" i="18"/>
  <c r="A454" i="18"/>
  <c r="A1093" i="18"/>
  <c r="B903" i="18"/>
  <c r="B120" i="12"/>
  <c r="B205" i="18"/>
  <c r="A169" i="18"/>
  <c r="A971" i="18"/>
  <c r="B57" i="18"/>
  <c r="A600" i="18"/>
  <c r="B389" i="18"/>
  <c r="B702" i="18"/>
  <c r="A55" i="18"/>
  <c r="A549" i="18"/>
  <c r="B87" i="12"/>
  <c r="B499" i="18"/>
  <c r="A405" i="18"/>
  <c r="B1149" i="18"/>
  <c r="B330" i="18"/>
  <c r="A158" i="18"/>
  <c r="A903" i="18"/>
  <c r="A227" i="18"/>
  <c r="A113" i="18"/>
  <c r="A701" i="18"/>
  <c r="B353" i="18"/>
  <c r="B227" i="18"/>
  <c r="B77" i="12"/>
  <c r="A273" i="18"/>
  <c r="B86" i="12"/>
  <c r="B97" i="12"/>
  <c r="B344" i="18"/>
  <c r="A713" i="18"/>
  <c r="A556" i="18"/>
  <c r="A766" i="18"/>
  <c r="A185" i="18"/>
  <c r="B376" i="18"/>
  <c r="B239" i="18"/>
  <c r="B180" i="12"/>
  <c r="B18" i="18"/>
  <c r="A644" i="18"/>
  <c r="A810" i="18"/>
  <c r="A246" i="18"/>
  <c r="B319" i="18"/>
  <c r="A115" i="18"/>
  <c r="B110" i="18"/>
  <c r="B485" i="18"/>
  <c r="B81" i="18"/>
  <c r="A223" i="18"/>
  <c r="A371" i="18"/>
  <c r="A940" i="18"/>
  <c r="B187" i="12"/>
  <c r="B40" i="18"/>
  <c r="B585" i="18"/>
  <c r="A782" i="18"/>
  <c r="B8" i="18"/>
  <c r="B595" i="18"/>
  <c r="B114" i="12"/>
  <c r="A245" i="18"/>
  <c r="A196" i="18"/>
  <c r="B496" i="18"/>
  <c r="A585" i="18"/>
  <c r="B114" i="18"/>
  <c r="A75" i="18"/>
  <c r="A988" i="18"/>
  <c r="B84" i="12"/>
  <c r="B1094" i="18"/>
  <c r="B362" i="18"/>
  <c r="B119" i="18"/>
  <c r="B190" i="18"/>
  <c r="B69" i="12"/>
  <c r="A426" i="18"/>
  <c r="A239" i="18"/>
  <c r="A1141" i="18"/>
  <c r="A558" i="18"/>
  <c r="B131" i="18"/>
  <c r="A346" i="18"/>
  <c r="B546" i="18"/>
  <c r="B360" i="18"/>
  <c r="B605" i="18"/>
  <c r="B91" i="18"/>
  <c r="B70" i="18"/>
  <c r="B618" i="18"/>
  <c r="B146" i="12"/>
  <c r="A746" i="18"/>
  <c r="A421" i="18"/>
  <c r="A35" i="18"/>
  <c r="A221" i="18"/>
  <c r="B142" i="12"/>
  <c r="B179" i="12"/>
  <c r="B601" i="18"/>
  <c r="B621" i="18"/>
  <c r="A676" i="18"/>
  <c r="B59" i="18"/>
  <c r="A415" i="18"/>
  <c r="A692" i="18"/>
  <c r="B922" i="18"/>
  <c r="B118" i="18"/>
  <c r="A130" i="18"/>
  <c r="B91" i="12"/>
  <c r="A402" i="18"/>
  <c r="B204" i="18"/>
  <c r="A71" i="18"/>
  <c r="A17" i="18"/>
  <c r="A376" i="18"/>
  <c r="A460" i="18"/>
  <c r="A276" i="18"/>
  <c r="A24" i="18"/>
  <c r="B285" i="18"/>
  <c r="B714" i="18"/>
  <c r="A581" i="18"/>
  <c r="B143" i="12"/>
  <c r="A10" i="18"/>
  <c r="A271" i="18"/>
  <c r="A853" i="18"/>
  <c r="B172" i="12"/>
  <c r="B743" i="18"/>
  <c r="B292" i="18"/>
  <c r="A471" i="18"/>
  <c r="A231" i="18"/>
  <c r="B105" i="12"/>
  <c r="A198" i="18"/>
  <c r="B1081" i="18"/>
  <c r="A236" i="18"/>
  <c r="A52" i="18"/>
  <c r="B134" i="18"/>
  <c r="B64" i="12"/>
  <c r="B1127" i="18"/>
  <c r="A25" i="18"/>
  <c r="B142" i="18"/>
  <c r="B118" i="12"/>
  <c r="A944" i="18"/>
  <c r="B262" i="18"/>
  <c r="B265" i="18"/>
  <c r="A234" i="18"/>
  <c r="B63" i="18"/>
  <c r="B569" i="18"/>
  <c r="B28" i="18"/>
  <c r="A146" i="18"/>
  <c r="B92" i="12"/>
  <c r="A155" i="18"/>
  <c r="B316" i="18"/>
  <c r="B15" i="18"/>
  <c r="A322" i="18"/>
  <c r="A328" i="18"/>
  <c r="B132" i="18"/>
  <c r="A69" i="18"/>
  <c r="B355" i="18"/>
  <c r="B128" i="12"/>
  <c r="B649" i="18"/>
  <c r="A677" i="18"/>
  <c r="B170" i="12"/>
  <c r="A978" i="18"/>
  <c r="A291" i="18"/>
  <c r="B577" i="18"/>
  <c r="B972" i="18"/>
  <c r="A900" i="18"/>
  <c r="B60" i="18"/>
  <c r="A758" i="18"/>
  <c r="B76" i="12"/>
  <c r="A32" i="18"/>
  <c r="A838" i="18"/>
  <c r="B449" i="18"/>
  <c r="B303" i="18"/>
  <c r="A431" i="18"/>
  <c r="A286" i="18"/>
  <c r="A154" i="18"/>
  <c r="A33" i="18"/>
  <c r="B976" i="18"/>
  <c r="B391" i="18"/>
  <c r="A39" i="18"/>
  <c r="B121" i="12"/>
  <c r="B185" i="12"/>
  <c r="B1100" i="18"/>
  <c r="A250" i="18"/>
  <c r="B183" i="12"/>
  <c r="A395" i="18"/>
  <c r="B141" i="12"/>
  <c r="B178" i="18"/>
  <c r="A281" i="18"/>
  <c r="A385" i="18"/>
  <c r="B169" i="18"/>
  <c r="A835" i="18"/>
  <c r="A91" i="18"/>
  <c r="A954" i="18"/>
  <c r="B102" i="18"/>
  <c r="A466" i="18"/>
  <c r="B709" i="18"/>
  <c r="B218" i="18"/>
  <c r="A736" i="18"/>
  <c r="A367" i="18"/>
  <c r="A472" i="18"/>
  <c r="A522" i="18"/>
  <c r="B537" i="18"/>
  <c r="A491" i="18"/>
  <c r="A945" i="18"/>
  <c r="B216" i="18"/>
  <c r="B166" i="12"/>
  <c r="B58" i="12"/>
  <c r="B241" i="18"/>
  <c r="B716" i="18"/>
  <c r="A958" i="18"/>
  <c r="A207" i="18"/>
  <c r="A66" i="18"/>
  <c r="B392" i="18"/>
  <c r="B171" i="12"/>
  <c r="B64" i="18"/>
  <c r="A133" i="18"/>
  <c r="A119" i="18"/>
  <c r="A86" i="18"/>
  <c r="A61" i="18"/>
  <c r="B184" i="12"/>
  <c r="B280" i="18"/>
  <c r="B720" i="18"/>
  <c r="B845" i="18"/>
  <c r="B897" i="18"/>
  <c r="A100" i="18"/>
  <c r="A204" i="18"/>
  <c r="B509" i="18"/>
  <c r="B55" i="12"/>
  <c r="B1147" i="18"/>
  <c r="B116" i="18"/>
  <c r="A313" i="18"/>
  <c r="B100" i="18"/>
  <c r="B158" i="12"/>
  <c r="A366" i="18"/>
  <c r="B333" i="18"/>
  <c r="B260" i="18"/>
  <c r="A300" i="18"/>
  <c r="B176" i="12"/>
  <c r="B138" i="12"/>
  <c r="A134" i="18"/>
  <c r="B366" i="18"/>
  <c r="A101" i="18"/>
  <c r="B1030" i="18"/>
  <c r="A167" i="18"/>
  <c r="B85" i="12"/>
  <c r="B80" i="12"/>
  <c r="B327" i="18"/>
  <c r="B182" i="12"/>
  <c r="B451" i="18"/>
  <c r="B514" i="18"/>
  <c r="A362" i="18"/>
  <c r="B156" i="12"/>
  <c r="A1138" i="18"/>
  <c r="B729" i="18"/>
  <c r="A59" i="18"/>
  <c r="A417" i="18"/>
  <c r="B101" i="18"/>
  <c r="A94" i="18"/>
  <c r="B117" i="12"/>
  <c r="B79" i="12"/>
  <c r="B936" i="18"/>
  <c r="B591" i="18"/>
  <c r="A474" i="18"/>
  <c r="B857" i="18"/>
  <c r="A1102" i="18"/>
  <c r="A337" i="18"/>
  <c r="B435" i="18"/>
  <c r="B440" i="18"/>
  <c r="A671" i="18"/>
  <c r="A932" i="18"/>
  <c r="B1008" i="18"/>
  <c r="A422" i="18"/>
  <c r="B870" i="18"/>
  <c r="A779" i="18"/>
  <c r="A789" i="18"/>
  <c r="B143" i="18"/>
  <c r="B979" i="18"/>
  <c r="B133" i="18"/>
  <c r="B661" i="18"/>
  <c r="B244" i="18"/>
  <c r="A1136" i="18"/>
  <c r="B1085" i="18"/>
  <c r="A1147" i="18"/>
  <c r="A1063" i="18"/>
  <c r="A965" i="18"/>
  <c r="A218" i="18"/>
  <c r="A896" i="18"/>
  <c r="A1011" i="18"/>
  <c r="B495" i="18"/>
  <c r="A1059" i="18"/>
  <c r="A391" i="18"/>
  <c r="A224" i="18"/>
  <c r="A41" i="18"/>
  <c r="B627" i="18"/>
  <c r="B771" i="18"/>
  <c r="B578" i="18"/>
  <c r="B290" i="18"/>
  <c r="A123" i="18"/>
  <c r="B66" i="12"/>
  <c r="B1114" i="18"/>
  <c r="B959" i="18"/>
  <c r="A529" i="18"/>
  <c r="B1031" i="18"/>
  <c r="A47" i="18"/>
  <c r="A314" i="18"/>
  <c r="B526" i="18"/>
  <c r="A355" i="18"/>
  <c r="B45" i="18"/>
  <c r="B947" i="18"/>
  <c r="B379" i="18"/>
  <c r="A340" i="18"/>
  <c r="B834" i="18"/>
  <c r="B636" i="18"/>
  <c r="A308" i="18"/>
  <c r="B602" i="18"/>
  <c r="B158" i="18"/>
  <c r="B282" i="18"/>
  <c r="A552" i="18"/>
  <c r="B208" i="18"/>
  <c r="B140" i="18"/>
  <c r="A180" i="18"/>
  <c r="B459" i="18"/>
  <c r="A170" i="18"/>
  <c r="A555" i="18"/>
  <c r="B412" i="18"/>
  <c r="A518" i="18"/>
  <c r="B346" i="18"/>
  <c r="A573" i="18"/>
  <c r="A95" i="18"/>
  <c r="A428" i="18"/>
  <c r="B65" i="12"/>
  <c r="B106" i="18"/>
  <c r="A117" i="18"/>
  <c r="A1144" i="18"/>
  <c r="B746" i="18"/>
  <c r="A153" i="18"/>
  <c r="B948" i="18"/>
  <c r="A432" i="18"/>
  <c r="A441" i="18"/>
  <c r="B23" i="6"/>
  <c r="B268" i="18"/>
  <c r="B482" i="18"/>
  <c r="A623" i="18"/>
  <c r="B549" i="18"/>
  <c r="B755" i="18"/>
  <c r="B458" i="18"/>
  <c r="A336" i="18"/>
  <c r="A1105" i="18"/>
  <c r="B424" i="18"/>
  <c r="B725" i="18"/>
  <c r="B794" i="18"/>
  <c r="B1120" i="18"/>
  <c r="B148" i="18"/>
  <c r="B107" i="18"/>
  <c r="B718" i="18"/>
  <c r="A212" i="18"/>
  <c r="A228" i="18"/>
  <c r="B993" i="18"/>
  <c r="B283" i="18"/>
  <c r="B561" i="18"/>
  <c r="A682" i="18"/>
  <c r="B133" i="12"/>
  <c r="A28" i="18"/>
  <c r="A1150" i="18"/>
  <c r="A865" i="18"/>
  <c r="A84" i="18"/>
  <c r="A282" i="18"/>
  <c r="B279" i="18"/>
  <c r="A330" i="18"/>
  <c r="A793" i="18"/>
  <c r="B457" i="18"/>
  <c r="A215" i="18"/>
  <c r="A36" i="18"/>
  <c r="B71" i="18"/>
  <c r="A502" i="18"/>
  <c r="B940" i="18"/>
  <c r="B237" i="18"/>
  <c r="B128" i="18"/>
  <c r="A60" i="18"/>
  <c r="A817" i="18"/>
  <c r="A163" i="18"/>
  <c r="A194" i="18"/>
  <c r="B82" i="18"/>
  <c r="A252" i="18"/>
  <c r="A553" i="18"/>
  <c r="A520" i="18"/>
  <c r="B403" i="18"/>
  <c r="B34" i="18"/>
  <c r="A420" i="18"/>
  <c r="B820" i="18"/>
  <c r="B956" i="18"/>
  <c r="B978" i="18"/>
  <c r="A928" i="18"/>
  <c r="A760" i="18"/>
  <c r="B764" i="18"/>
  <c r="B808" i="18"/>
  <c r="B645" i="18"/>
  <c r="B358" i="18"/>
  <c r="A361" i="18"/>
  <c r="B992" i="18"/>
  <c r="A242" i="18"/>
  <c r="A1079" i="18"/>
  <c r="B10" i="18"/>
  <c r="A1057" i="18"/>
  <c r="B275" i="18"/>
  <c r="B109" i="18"/>
  <c r="A578" i="18"/>
  <c r="A832" i="18"/>
  <c r="B298" i="18"/>
  <c r="B639" i="18"/>
  <c r="A57" i="18"/>
  <c r="B1043" i="18"/>
  <c r="B87" i="18"/>
  <c r="A240" i="18"/>
  <c r="B493" i="18"/>
  <c r="B675" i="18"/>
  <c r="B163" i="12"/>
  <c r="A269" i="18"/>
  <c r="A545" i="18"/>
  <c r="B120" i="18"/>
  <c r="A165" i="18"/>
  <c r="A1048" i="18"/>
  <c r="B1150" i="18"/>
  <c r="A145" i="18"/>
  <c r="A81" i="18"/>
  <c r="B68" i="18"/>
  <c r="B57" i="12"/>
  <c r="A235" i="18"/>
  <c r="B177" i="18"/>
  <c r="B398" i="18"/>
  <c r="B88" i="12"/>
  <c r="B139" i="18"/>
  <c r="A270" i="18"/>
  <c r="A147" i="18"/>
  <c r="A845" i="18"/>
  <c r="A8" i="18"/>
  <c r="A1115" i="18"/>
  <c r="A521" i="18"/>
  <c r="B651" i="18"/>
  <c r="B784" i="18"/>
  <c r="B427" i="18"/>
  <c r="A442" i="18"/>
  <c r="A467" i="18"/>
  <c r="B103" i="18"/>
  <c r="A280" i="18"/>
  <c r="A315" i="18"/>
  <c r="B359" i="18"/>
  <c r="A260" i="18"/>
  <c r="B7" i="18"/>
  <c r="A485" i="18"/>
  <c r="B1023" i="18"/>
  <c r="A31" i="18"/>
  <c r="A177" i="18"/>
  <c r="B930" i="18"/>
  <c r="A111" i="18"/>
  <c r="A49" i="18"/>
  <c r="A288" i="18"/>
  <c r="B707" i="18"/>
  <c r="A173" i="18"/>
  <c r="A142" i="18"/>
  <c r="A806" i="18"/>
  <c r="A705" i="18"/>
  <c r="A1024" i="18"/>
  <c r="B770" i="18"/>
  <c r="B1035" i="18"/>
  <c r="B24" i="18"/>
  <c r="A70" i="18"/>
  <c r="A97" i="18"/>
  <c r="A995" i="18"/>
  <c r="B844" i="18"/>
  <c r="A647" i="18"/>
  <c r="A550" i="18"/>
  <c r="B364" i="18"/>
  <c r="B573" i="18"/>
  <c r="B479" i="18"/>
  <c r="A156" i="18"/>
  <c r="A289" i="18"/>
  <c r="A157" i="18"/>
  <c r="B774" i="18"/>
  <c r="A230" i="18"/>
  <c r="A184" i="18"/>
  <c r="A567" i="18"/>
  <c r="A411" i="18"/>
  <c r="B155" i="12"/>
  <c r="A526" i="18"/>
  <c r="B175" i="12"/>
  <c r="A387" i="18"/>
  <c r="B666" i="18"/>
  <c r="B89" i="18"/>
  <c r="B56" i="18"/>
  <c r="B272" i="18"/>
  <c r="B252" i="18"/>
  <c r="A208" i="18"/>
  <c r="B196" i="18"/>
  <c r="B139" i="12"/>
  <c r="B220" i="18"/>
  <c r="A162" i="18"/>
  <c r="B127" i="12"/>
  <c r="B230" i="18"/>
  <c r="A18" i="18"/>
  <c r="A48" i="18"/>
  <c r="A92" i="18"/>
  <c r="A1112" i="18"/>
  <c r="B461" i="18"/>
  <c r="B84" i="18"/>
  <c r="A88" i="18"/>
  <c r="B96" i="18"/>
  <c r="A963" i="18"/>
  <c r="B79" i="18"/>
  <c r="B71" i="12"/>
  <c r="B916" i="18"/>
  <c r="B849" i="18"/>
  <c r="A29" i="18"/>
  <c r="A192" i="18"/>
  <c r="B39" i="18"/>
  <c r="B906" i="18"/>
  <c r="B349" i="18"/>
  <c r="A105" i="18"/>
  <c r="A292" i="18"/>
  <c r="A923" i="18"/>
  <c r="A248" i="18"/>
  <c r="A152" i="18"/>
  <c r="A696" i="18"/>
  <c r="B165" i="18"/>
  <c r="B1050" i="18"/>
  <c r="B180" i="18"/>
  <c r="A138" i="18"/>
  <c r="A284" i="18"/>
  <c r="B1088" i="18"/>
  <c r="A938" i="18"/>
  <c r="A321" i="18"/>
  <c r="B100" i="12"/>
  <c r="A500" i="18"/>
  <c r="B287" i="18"/>
  <c r="A824" i="18"/>
  <c r="B144" i="12"/>
  <c r="A93" i="18"/>
  <c r="B735" i="18"/>
  <c r="B86" i="18"/>
  <c r="A726" i="18"/>
  <c r="B263" i="18"/>
  <c r="A639" i="18"/>
  <c r="B293" i="18"/>
  <c r="B70" i="12"/>
  <c r="B240" i="18"/>
  <c r="B400" i="18"/>
  <c r="B264" i="18"/>
  <c r="B665" i="18"/>
  <c r="B367" i="18"/>
  <c r="B340" i="18"/>
  <c r="A359" i="18"/>
  <c r="A128" i="18"/>
  <c r="B132" i="12"/>
  <c r="A226" i="18"/>
  <c r="B124" i="12"/>
  <c r="A890" i="18"/>
  <c r="A344" i="18"/>
  <c r="B136" i="18"/>
  <c r="A710" i="18"/>
  <c r="B259" i="18"/>
  <c r="A410" i="18"/>
  <c r="A541" i="18"/>
  <c r="A124" i="18"/>
  <c r="A26" i="18"/>
  <c r="A939" i="18"/>
  <c r="B228" i="18"/>
  <c r="A948" i="18"/>
  <c r="B829" i="18"/>
  <c r="B654" i="18"/>
  <c r="B385" i="18"/>
  <c r="A1099" i="18"/>
  <c r="B54" i="12"/>
  <c r="A440" i="18"/>
  <c r="B444" i="18"/>
  <c r="B1130" i="18"/>
  <c r="B127" i="18"/>
  <c r="B108" i="12"/>
  <c r="A143" i="18"/>
  <c r="A131" i="18"/>
  <c r="A229" i="18"/>
  <c r="A56" i="18"/>
  <c r="A339" i="18"/>
  <c r="A309" i="18"/>
  <c r="B75" i="12"/>
  <c r="B126" i="18"/>
  <c r="B68" i="12"/>
  <c r="A30" i="18"/>
  <c r="A40" i="18"/>
  <c r="A1029" i="18"/>
  <c r="A278" i="18"/>
  <c r="A831" i="18"/>
  <c r="A843" i="18"/>
  <c r="A606" i="18"/>
  <c r="B104" i="18"/>
  <c r="B428" i="18"/>
  <c r="B174" i="12"/>
  <c r="A1118" i="18"/>
  <c r="B606" i="18"/>
  <c r="B315" i="18"/>
  <c r="B108" i="18"/>
  <c r="A307" i="18"/>
  <c r="B164" i="18"/>
  <c r="A329" i="18"/>
  <c r="B320" i="18"/>
  <c r="A213" i="18"/>
  <c r="B155" i="18"/>
  <c r="A54" i="18"/>
  <c r="B291" i="18"/>
  <c r="A594" i="18"/>
  <c r="B683" i="18"/>
  <c r="A23" i="18"/>
  <c r="A37" i="18"/>
  <c r="A445" i="18"/>
  <c r="A379" i="18"/>
  <c r="B963" i="18"/>
  <c r="A363" i="18"/>
  <c r="A582" i="18"/>
  <c r="B731" i="18"/>
  <c r="B48" i="18"/>
  <c r="B111" i="12"/>
  <c r="B159" i="12"/>
  <c r="A619" i="18"/>
  <c r="B19" i="18"/>
  <c r="A139" i="18"/>
  <c r="B146" i="18"/>
  <c r="A222" i="18"/>
  <c r="A73" i="18"/>
  <c r="B626" i="18"/>
  <c r="A171" i="18"/>
  <c r="A267" i="18"/>
  <c r="A318" i="18"/>
  <c r="A400" i="18"/>
  <c r="A719" i="18"/>
  <c r="A1091" i="18"/>
  <c r="A381" i="18"/>
  <c r="A406" i="18"/>
  <c r="B365" i="18"/>
  <c r="A699" i="18"/>
  <c r="A873" i="18"/>
  <c r="B450" i="18"/>
  <c r="B1098" i="18"/>
  <c r="B878" i="18"/>
  <c r="A496" i="18"/>
  <c r="A551" i="18"/>
  <c r="A383" i="18"/>
  <c r="A22" i="18"/>
  <c r="B1058" i="18"/>
  <c r="A596" i="18"/>
  <c r="A907" i="18"/>
  <c r="A589" i="18"/>
  <c r="B46" i="18"/>
  <c r="A674" i="18"/>
  <c r="B407" i="18"/>
  <c r="A737" i="18"/>
  <c r="B1095" i="18"/>
  <c r="A1039" i="18"/>
  <c r="B415" i="18"/>
  <c r="A546" i="18"/>
  <c r="A135" i="18"/>
  <c r="B1135" i="18"/>
  <c r="A311" i="18"/>
  <c r="B38" i="18"/>
  <c r="A859" i="18"/>
  <c r="A516" i="18"/>
  <c r="A65" i="18"/>
  <c r="A159" i="18"/>
  <c r="A279" i="18"/>
  <c r="B394" i="18"/>
  <c r="A976" i="18"/>
  <c r="A259" i="18"/>
  <c r="B125" i="12"/>
  <c r="A181" i="18"/>
  <c r="B72" i="12"/>
  <c r="A394" i="18"/>
  <c r="A559" i="18"/>
  <c r="B151" i="18"/>
  <c r="A306" i="18"/>
  <c r="B41" i="18"/>
  <c r="B425" i="18"/>
  <c r="B107" i="12"/>
  <c r="B889" i="18"/>
  <c r="A341" i="18"/>
  <c r="B168" i="18"/>
  <c r="B445" i="18"/>
  <c r="A187" i="18"/>
  <c r="A210" i="18"/>
  <c r="A464" i="18"/>
  <c r="A380" i="18"/>
  <c r="A150" i="18"/>
  <c r="B161" i="12"/>
  <c r="A369" i="18"/>
  <c r="B874" i="18"/>
  <c r="B352" i="18"/>
  <c r="B184" i="18"/>
  <c r="A353" i="18"/>
  <c r="A209" i="18"/>
  <c r="B101" i="12"/>
  <c r="B387" i="18"/>
  <c r="B60" i="12"/>
  <c r="A87" i="18"/>
  <c r="B313" i="18"/>
  <c r="B638" i="18"/>
  <c r="A767" i="18"/>
  <c r="A3" i="18"/>
  <c r="A108" i="18"/>
  <c r="B181" i="12"/>
  <c r="A977" i="18"/>
  <c r="A106" i="18"/>
  <c r="B135" i="12"/>
  <c r="B801" i="18"/>
  <c r="A112" i="18"/>
  <c r="B871" i="18"/>
  <c r="B81" i="12"/>
  <c r="B148" i="12"/>
  <c r="B336" i="18"/>
  <c r="A265" i="18"/>
  <c r="B198" i="18"/>
  <c r="B744" i="18"/>
  <c r="B12" i="18"/>
  <c r="B3" i="18"/>
  <c r="B328" i="18"/>
  <c r="B61" i="18"/>
  <c r="B1136" i="18"/>
  <c r="A144" i="18"/>
  <c r="A299" i="18"/>
  <c r="B271" i="18"/>
  <c r="B988" i="18"/>
  <c r="A703" i="18"/>
  <c r="B255" i="18"/>
  <c r="B324" i="18"/>
  <c r="B90" i="18"/>
  <c r="B1090" i="18"/>
  <c r="B421" i="18"/>
  <c r="B436" i="18"/>
  <c r="A67" i="18"/>
  <c r="A178" i="18"/>
  <c r="A776" i="18"/>
  <c r="A372" i="18"/>
  <c r="A82" i="18"/>
  <c r="B232" i="18"/>
  <c r="B650" i="18"/>
  <c r="B32" i="18"/>
  <c r="A214" i="18"/>
  <c r="A955" i="18"/>
  <c r="A987" i="18"/>
  <c r="A290" i="18"/>
  <c r="B137" i="12"/>
  <c r="B314" i="18"/>
  <c r="B741" i="18"/>
  <c r="B11" i="18"/>
  <c r="B634" i="18"/>
  <c r="A114" i="18"/>
  <c r="B116" i="12"/>
  <c r="B130" i="18"/>
  <c r="B56" i="12"/>
  <c r="B563" i="18"/>
  <c r="B78" i="12"/>
  <c r="A614" i="18"/>
  <c r="A304" i="18"/>
  <c r="B73" i="12"/>
  <c r="A669" i="18"/>
  <c r="A840" i="18"/>
  <c r="B1132" i="18"/>
  <c r="A76" i="18"/>
  <c r="A27" i="18"/>
  <c r="A749" i="18"/>
  <c r="B115" i="12"/>
  <c r="B195" i="18"/>
  <c r="A709" i="18"/>
  <c r="A481" i="18"/>
  <c r="B795" i="18"/>
  <c r="A1022" i="18"/>
  <c r="B47" i="18"/>
  <c r="B380" i="18"/>
  <c r="D23" i="6" l="1"/>
  <c r="C59" i="12"/>
</calcChain>
</file>

<file path=xl/sharedStrings.xml><?xml version="1.0" encoding="utf-8"?>
<sst xmlns="http://schemas.openxmlformats.org/spreadsheetml/2006/main" count="14204" uniqueCount="3425">
  <si>
    <t>№</t>
  </si>
  <si>
    <t>id</t>
  </si>
  <si>
    <t>НП/ГП</t>
  </si>
  <si>
    <t>ФП/ПП</t>
  </si>
  <si>
    <t>Результат ФП/Основное мероприятие ГП</t>
  </si>
  <si>
    <t>Повышение реальных доходов населения</t>
  </si>
  <si>
    <t>Характеристика результата</t>
  </si>
  <si>
    <t>Всего мероприятий</t>
  </si>
  <si>
    <t>У</t>
  </si>
  <si>
    <t>Наличие результата в паспорте НП</t>
  </si>
  <si>
    <t>Дата начала</t>
  </si>
  <si>
    <t>Дата завершения</t>
  </si>
  <si>
    <t>Тип результата</t>
  </si>
  <si>
    <t>Обеспечение необходимого уровня заработной платы работников бюджетной сферы [повышение реальных доходов]</t>
  </si>
  <si>
    <t>индикатор / инструмент</t>
  </si>
  <si>
    <t>Ключевые действия (КД)</t>
  </si>
  <si>
    <t>ФП</t>
  </si>
  <si>
    <t>ГП</t>
  </si>
  <si>
    <t>Обеспечение социальных выплат в целях поддержания необходимого уровня платежеспособного спроса нуждающихся категорий граждан - индексация социальных трансфертов [повышение реальных доходов]</t>
  </si>
  <si>
    <t>КБК</t>
  </si>
  <si>
    <t>Содействие занятости отдельных категорий граждан (женщин, инвалидов, лиц старшего поколения) [повышение реальных доходов]</t>
  </si>
  <si>
    <t>Поддержка нуждающихся семей с детьми</t>
  </si>
  <si>
    <t>Информационная инфраструктура</t>
  </si>
  <si>
    <t>Профилактика социального сиротства</t>
  </si>
  <si>
    <t>Развитие системы государственной поддержки малообеспеченных граждан на основе принципов адресности и нуждаемости</t>
  </si>
  <si>
    <t>Кадры для цифровой экономики</t>
  </si>
  <si>
    <t>Организация учета малообеспеченных граждан [развитие системы государственной поддержки малообеспеченных граждан на основе принципов адресности и нуждаемости]</t>
  </si>
  <si>
    <t>Экспорт образования</t>
  </si>
  <si>
    <t>Логика привязки к КД</t>
  </si>
  <si>
    <t>В НП/ФП по ОНДП на:</t>
  </si>
  <si>
    <t>В НП/ФП по ЕП на:</t>
  </si>
  <si>
    <t>Социальные лифты для каждого</t>
  </si>
  <si>
    <t>СП Доходы</t>
  </si>
  <si>
    <t>СП Бедность</t>
  </si>
  <si>
    <t>Ответственный</t>
  </si>
  <si>
    <t xml:space="preserve">Улучшение условий ведения предпринимательской деятельности
</t>
  </si>
  <si>
    <t>Создание системы поддержки фермеров и развитие сельской кооперации</t>
  </si>
  <si>
    <t xml:space="preserve">Популяризация предпринимательства
</t>
  </si>
  <si>
    <t>Код</t>
  </si>
  <si>
    <t>Развитие экспорта медицинских услуг</t>
  </si>
  <si>
    <t>Краткое наименование</t>
  </si>
  <si>
    <t>Наименование</t>
  </si>
  <si>
    <t xml:space="preserve">Акселерация субъектов малого и среднего предпринимательства
</t>
  </si>
  <si>
    <t>Цифровые технологии</t>
  </si>
  <si>
    <t>ПП</t>
  </si>
  <si>
    <t>Борьба с сердечно-сосудистыми заболеваниями</t>
  </si>
  <si>
    <t>Реализация комплекса мероприятий, направленных на защиту социально-трудовых прав граждан предпенсионного возраста</t>
  </si>
  <si>
    <t>Новые возможности для каждого</t>
  </si>
  <si>
    <t>Современная школа</t>
  </si>
  <si>
    <t>Учитель будущего</t>
  </si>
  <si>
    <t>Поддержка семей, имеющих детей</t>
  </si>
  <si>
    <t>Обеспечение стабильного экономического роста</t>
  </si>
  <si>
    <t>Бедность</t>
  </si>
  <si>
    <t>Доходы</t>
  </si>
  <si>
    <t>Молодые профессионалы</t>
  </si>
  <si>
    <t>Содействие ускоренному социально-экономическому развитию регионов</t>
  </si>
  <si>
    <t>Первичная медико-санитарная помощь</t>
  </si>
  <si>
    <t>Содействие ускоренному социально-экономическому развитию сельских территорий, небольших городских поселений и моногородов [содействие ускоренному социально-экономическому развитию регионов]</t>
  </si>
  <si>
    <t>Адресная поддержка повышения производительности труда на предприятиях</t>
  </si>
  <si>
    <t>type_id</t>
  </si>
  <si>
    <t xml:space="preserve">Обеспечение улучшения качества жизни сельского населения [содействие ускоренному социально-экономическому развитию регионов]
</t>
  </si>
  <si>
    <t>subtype_id</t>
  </si>
  <si>
    <t>Старшее поколение</t>
  </si>
  <si>
    <t>Обеспечение благоприятных условий осуществления деятельности самозанятыми гражданами [содействие ускоренному социально-экономическому развитию регионов]</t>
  </si>
  <si>
    <t>Финансовая поддержка семей при рождении детей</t>
  </si>
  <si>
    <t>Поддержка фермеров и развитие сельской кооперации [содействие ускоренному социально-экономическому развитию регионов]</t>
  </si>
  <si>
    <t>Цифровой контур здравоохранения</t>
  </si>
  <si>
    <t>Содействие росту правовой, цифровой и финансовой грамотности населения [содействие ускоренному социально-экономическому развитию регионов]</t>
  </si>
  <si>
    <t>Системные меры по повышению производительности труда</t>
  </si>
  <si>
    <t>Содействие развитию благотворительности и волонтерства</t>
  </si>
  <si>
    <t>Социальная активность</t>
  </si>
  <si>
    <t>Отсутствует</t>
  </si>
  <si>
    <t>Успех каждого ребенка</t>
  </si>
  <si>
    <t>Поддержка занятости</t>
  </si>
  <si>
    <t>Цифровая образовательная среда</t>
  </si>
  <si>
    <t>key_action</t>
  </si>
  <si>
    <t>Информационная безопасность</t>
  </si>
  <si>
    <t>Развитие детского здравоохранения, включая создание современной инфраструктуры оказания медицинской помощи детям</t>
  </si>
  <si>
    <t>Цифровое государственное управление</t>
  </si>
  <si>
    <t>Нормативное регулирование цифровой среды</t>
  </si>
  <si>
    <t>Борьба с онкологическими заболеваниями</t>
  </si>
  <si>
    <t>Обеспечение медицинских организаций системы здравоохранения квалифицированными кадрами</t>
  </si>
  <si>
    <t>Укрепление общественного здоровья</t>
  </si>
  <si>
    <t>Спорт-норма жизни</t>
  </si>
  <si>
    <t>A</t>
  </si>
  <si>
    <t>Культура</t>
  </si>
  <si>
    <t>A1</t>
  </si>
  <si>
    <t>Да</t>
  </si>
  <si>
    <t>01.01.2019</t>
  </si>
  <si>
    <t>Утверждение документа</t>
  </si>
  <si>
    <t>инструмент</t>
  </si>
  <si>
    <t>08</t>
  </si>
  <si>
    <t>01</t>
  </si>
  <si>
    <t>11</t>
  </si>
  <si>
    <t>2</t>
  </si>
  <si>
    <t>Строительство (реконструкция, техническое перевооружение, приобретение) объекта недвижимого имущества</t>
  </si>
  <si>
    <t>индикатор</t>
  </si>
  <si>
    <t>Нет</t>
  </si>
  <si>
    <t>Создание (реорганизация) организации (структурного подразделения)</t>
  </si>
  <si>
    <t>Приобретение товаров, работ, услуг</t>
  </si>
  <si>
    <t>07</t>
  </si>
  <si>
    <t>03</t>
  </si>
  <si>
    <t>02</t>
  </si>
  <si>
    <t>Сокращенная формулировка боли</t>
  </si>
  <si>
    <t>Расширенная формулировка боли и последствия</t>
  </si>
  <si>
    <t>Причина боли</t>
  </si>
  <si>
    <t>Пример</t>
  </si>
  <si>
    <t>Место боли</t>
  </si>
  <si>
    <t>Диагност боли</t>
  </si>
  <si>
    <t>Комментарии</t>
  </si>
  <si>
    <t>Результаты ФП не равны результатам ГП</t>
  </si>
  <si>
    <t>Несоответствие результатов, запланированных в федеральных проектах, результатам этих проектов, указанным в государственных программах. Это создает ситуацию, при которой источники финансирования тех или иных мероприятий остаются неясны.</t>
  </si>
  <si>
    <t>1. В ГП "Экономическое развитие и инновационная экономика" (№ 15) отсутствуют результаты, запланированные в рамках ФП "Расширение доступа субъектов МСП к финансовым ресурсам, в том числе к льготному финансированию", касающиеся расширения механизмов доступа субъектов МСП к фондовому рынку и информации о финансовых операциях на нем; создания информационно-аналитическо инфраструктуры "Сектора Роста" на ПАО Московская Биржа.
2. В федеральном проекте D3 "Кадры для цифровой экономики" мероприятие 1.2 "Создан венчурный фонд для поддержки перспективных образовательных технологий цифровой экономики", предусматривающее расходы федерального бюджета на  бюджетные инвестиции юридическому лицу на 2020 год в сумме 1500,0 млн. рублей в государственной программе 15 "Экономическое развитие и инновационная экономика",  финансируется  в рамках другого мероприятия федерального проекта D3: 1.8 "Поддержаны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цифровой экономики, создаваемого в форме инвестиционного товарищества" на ту же сумму. Т.е. два мероприятия федерального проекта фактически предусмутривают одни и те же расходы.
3. Объем финансирования мероприятий фед. проекта D6 «Цифровое государственное управление» за счет средств федерального бюджета (раздел 4 «Финансовое обеспечение реализации федерального проекта») не соответствует объему финансирования основного мероприятия 4.D6  "Федеральный проект "Цифровое государственное управление", указанному в приложении № 8 к Госпрограмме «Информационное общество».
4. В разделе 4 «Финансовое обеспечение реализации федерального проекта» отсутствуют сведения об объемах финансирования в разрезе кодов расходов федерального бюджета или в разрезе исполнителей фед. проекта D6 «Цифровое государственное управление». При этом в Госпрограмме «Информационное общество» приведена информация о финансовом обеспечении в разрезе исполнителей.</t>
  </si>
  <si>
    <t>1. В ГП "Экономическое развитие и инновационная экономика" (№ 15), ФП "Расширение доступа субъектов МСП к финансовым ресурсам, в том числе к льготному финансированию", ФП D3 "Кадры для цифровой экономики".                                                                                                                                                                                                                                                                                                                    2. Федеральный проект D3 "Кадры для цифровой экономики", государственная программа 15 "Экономическое развитие и инновационная экономика"
3. Федеральный проект D6 «Цифровое государственное управление» и Госпрограмма «Информационное общество».</t>
  </si>
  <si>
    <t>Терентьев В. Ю.
Груздева Е. П.</t>
  </si>
  <si>
    <t>Как следствие, невозможно определить действительный объем расходов на федеральные и национальные проекты, проанализировать качественный состав расходов федеральных и национальных проектов. Данный диагноз часто встречается, типичен для всех федеральных проектов</t>
  </si>
  <si>
    <t>Некорректная иерархия контрольных точек, мероприятий и результатов.</t>
  </si>
  <si>
    <t>Некорректная детализация достижения результатов в планах мероприятий федеральных проектов в части иерархии результатов, мероприятий и контрольных точек. Это создает сложности с определением и пониманием очередности исполнения тех или иных мероприятий.</t>
  </si>
  <si>
    <t>В ФП "Расширение доступа субъектов МСП к финансовым ресурсам, в том числе к льготному финансированию"  у пункта 16 Плана мероприятий (Результат "Увеличен объем финансовой поддержки, оказанной субъектам МСП, млрд. руб.") контрольные точки иерархические расположены выше, чем мероприятия (16.4 Контрольная точка "Утверждены (одобрены,сформированы) документы, необходимые для оказания услуги (выполнения работы)"; 16.4.1 Мероприятие "Мероприятия по контрольной точке отсутствуют") (с. 144).</t>
  </si>
  <si>
    <t>1. Федеральный проект "Расширение доступа субъектов МСП к финансовым ресурсам, в том числе к льготному финансированию"</t>
  </si>
  <si>
    <t>Терентьев В. Ю.</t>
  </si>
  <si>
    <t>Незаполненные позиции в планах мероприятий.</t>
  </si>
  <si>
    <t>Большое количество незаполненных позиций в структуре достижения результатов в планах мероприятий федеральных проектов. Это перегружает документы нерелевантной информацией.</t>
  </si>
  <si>
    <t>В ФП "Расширение доступа субъектов МСП к финансовым ресурсам, в том числе к льготному финансированию" у пункта 7 Плана мероприятий (Результат "Разработаны и утверждены механизмы доступа субъектов МСП к фондовому рынку, в том числе развитие финансирования субъектов МСП с помощью краудинвестинговой платформы") присутствует Контрольная точка 7.8 Контрольная точка "Контрольная точка не задана" (с. 108) и Мероприятие 7.7.1 "Мероприятия по контрольной точке отсутствуют" (с. 105).</t>
  </si>
  <si>
    <t xml:space="preserve">1. Федеральный проект "Расширение доступа субъектов МСП к финансовым ресурсам, в том числе к льготному финансированию".
2. Федеральный проект "Поддержка семей, имеющих детей".
</t>
  </si>
  <si>
    <t>Следует отметить, что такое положение дел может быть обусловлено некорректностью формирования документов, загружаемых из "Электронного бюджета".</t>
  </si>
  <si>
    <t>Результаты разделов ФП не согласуются между собой.</t>
  </si>
  <si>
    <t>Рассогласованность результатов мероприятий, указанных в разделах о запланированных задачах и результатов, и результатах, указанных в планах мероприятий федеральных проектов. Это вызывает недопонимание того, какие результаты реализации мероприятий в рамках федеральных проектов запланированы в действительности, а также того, как будут достигаться те или иные мероприятия.</t>
  </si>
  <si>
    <t>В ФП "Расширение доступа субъектов МСП к финансовым ресурсам, в том числе к льготному финансированию" в Разделе 3 "Задачи и результаты федерального проекта" (сс. 3-26) отсутствуют результаты 8 (Результат "Внедрены для массового использования биржевые инструменты лизингодателей для финансирования субъектов МСП, разработаны меры государственной поддержки таких инструментов, в том числе в 2023 году: - разработан механизм субсидирования части расходов на размещение лизинговых облигаций (затраты на аудит, рейтинговое агентство, консультанта, организатора), выпущенных под портфель МСП - проведена сделка по секьюритизации лизингового портфеля субъектов МСП") (с. 106) и 10 (Результат "Оптимизирована деятельность государственных МФО") (с. 123), указанные в Плане мероприятий федерального проекта.</t>
  </si>
  <si>
    <t>Целевые показатели недостаточно детализированы.</t>
  </si>
  <si>
    <t>Целевые показатели в некоторых национальных проектах недостаточно детализированы и не отражают особенностей тех частей социальной реальности, на изменение которых они направлены.</t>
  </si>
  <si>
    <t xml:space="preserve">Реализация в полном объеме контрольно-надзорных функций в сфере образования в отношении органов государственной власти субъектов Российской Федерации в соответствии с постановлением Правительства Российской Федерации от 28 июля 2018 г. N 885 "Об утверждении Положения о Федеральной службе по надзору в сфере образования и науки и признании утратившими силу некоторых актов Правительства Российской Федерации": в 2019 году - 100 процентов; в 2020 году - 100 процентов; в 2021 году - 100 процентов; в 2022 году - 100 процентов; в 2023 году - 100 процентов; в 2024 году - 100 процентов; в 2025 году - 100 процентов. </t>
  </si>
  <si>
    <t>НП "Образование", постановление правительства</t>
  </si>
  <si>
    <t>Жевленев Е.</t>
  </si>
  <si>
    <t>"Характеристики результата" включают в себя конкретные мероприятия, при этом "Наименования результата" - нет.</t>
  </si>
  <si>
    <t>Характеристика результата предполагает более расширенный перечень мероприятий и принятия нормативно-правовых актов по сравнению с самим результатом, который предполагает утверждение постановления Правительства РФ. Это создает ложные представления о необходимых для достижения результата контрольных точках и мероприятиях, нарушает общую логику и структуру документа, что затрудняет анализ.</t>
  </si>
  <si>
    <r>
      <rPr>
        <b/>
        <i/>
        <sz val="10"/>
        <rFont val="Arial"/>
        <family val="2"/>
        <charset val="204"/>
      </rPr>
      <t xml:space="preserve">1. Результат: </t>
    </r>
    <r>
      <rPr>
        <b/>
        <sz val="10"/>
        <rFont val="Arial"/>
        <family val="2"/>
        <charset val="204"/>
      </rPr>
      <t>Утверждено постановление Правительства Российской Федерации</t>
    </r>
    <r>
      <rPr>
        <sz val="10"/>
        <color rgb="FF000000"/>
        <rFont val="Arial"/>
        <family val="2"/>
        <charset val="204"/>
      </rPr>
      <t xml:space="preserve">, предусматривающее предоставление из федерального бюджета бюджетам субъектов Российской Федерации иных межбюджетных трансфертов на создание системы поддержки фермеров и развитие сельской кооперации в субъектах Российской Федерации в размере 37,368 млрд. рублей на период 2019-2024 годы
</t>
    </r>
    <r>
      <rPr>
        <b/>
        <i/>
        <sz val="10"/>
        <rFont val="Arial"/>
        <family val="2"/>
        <charset val="204"/>
      </rPr>
      <t xml:space="preserve">Характеристика: </t>
    </r>
    <r>
      <rPr>
        <b/>
        <sz val="10"/>
        <rFont val="Arial"/>
        <family val="2"/>
        <charset val="204"/>
      </rPr>
      <t>Предоставлены иные межбюджетные трансферты субъектам Российской Федерации</t>
    </r>
    <r>
      <rPr>
        <sz val="10"/>
        <color rgb="FF000000"/>
        <rFont val="Arial"/>
        <family val="2"/>
        <charset val="204"/>
      </rPr>
      <t xml:space="preserve"> на создание системы поддержки фермеров и развитие сельской кооперации, включая оказание грантовой поддержки крестьянским (фермерским) хозяйствам (грант "Агростартап"), предоставление государственной поддержки сельскохозяйственным потребительским кооперативам и обеспечение деятельности и достижение показателей эффективности центров компетенций в сфере сельскохозяйственной кооперации и поддержки фермеров.
2. В ФП «Поддержка семей, имеющих детей» есть мероприятие «Функционирует федеральный портал информационно-просветительской поддержки родителей», характеристика которого составляет 1 839 знаков (с пробелами) и включает в себя обширную описательную часть самого портала, а также ряда мероприятий для по его созданию.
В то же время, в ФП «Содействие занятости женщин» мероприятие «Актуализированы механизмы поддержки негосударственного сектора в сфере дошкольного образования» имеет более конкретную характеристику и составляет всего 174 знака (с пробелами).
</t>
    </r>
  </si>
  <si>
    <t>1. ФП "Создание системы поддержки фермеров и развитие сельской кооперации"
2. ФП "Содействие занятости женщин".
3. ФП "Поддержка семей, имеющих детей",</t>
  </si>
  <si>
    <t>Архипов А.А.
Терентьев В. Ю.</t>
  </si>
  <si>
    <t>Целевые показатели мероприятий отсутствуют.</t>
  </si>
  <si>
    <t>У некоторых результатов (мероприятий) федеральных проектов отсутствуют целевые показатели. При этом возможно наличие этих результатов в разделе "Финансовое обеспечение реализации федерального проекта", но с нулевым финансированием. Из-за этого произвести анализ результата (мероприятия) не представляется возможным.</t>
  </si>
  <si>
    <t>У результата (мероприятия) 1.16 "Созданы группы дошкольного образования и присмотра и ухода за детьми дошкольного возраста в негосударственном секторе дошкольного образования за счет субсидии из федерального бюджета бюджетам субъектов Российской Федерации с учетом приоритетности региональных программ субъектов Российской Федерации, в том числе входящих в состав Дальневосточного и Северо-Кавказского федеральных округов" отсутствуют целевые показатели в разделе 3 (с. 19). При этом, этот результат присутствует в разделе о финансовом обеспечении (в отличие от других мероприятий с нулевым финансированием), но на него не запланированы какие-либо траты (с. 23).</t>
  </si>
  <si>
    <t>1. Федеральный проект "Содействие занятости женщин"</t>
  </si>
  <si>
    <t>Целевые показатели мероприятий равны нулю.</t>
  </si>
  <si>
    <t>У некоторых проектных и индикаторных результатов (мероприятий) федеральных проектов целевые показатели равны нулю (в Разделе 3 в случае, если за отчетный период не предусмотрено результатов, то такие результаты (мероприятия) помечаются дефисом ("-")). Из-за этого произвести анализ результата (мероприятия) не представляется возможным.</t>
  </si>
  <si>
    <t>1. Результат (мероприятие) 1.24 "Внедрены корпоративные программы, содержащие наилучшие практики по укреплению здоровья работников"  ФП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 в 2019 году имеет целевой показатель, равный нулю ("0"), в то время, как в другие отчетные годы этот показатель не является нулевым (с. 33).
2. Результат (мероприятие) 1.38 "Создан опытный образец первой очереди государственной информационной системы национальной базы знаний индикаторов вредоносной активности" ФП "Информационная безопасность" в отчетные даты 31.12.2019 и 31.12.2020 имеет целевые показатели, равные нулю ("0"), в то время, как в 2021 году этот показатель не является нулевым (с. 16).</t>
  </si>
  <si>
    <t>1. Федеральный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</si>
  <si>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Результаты оформляются как индикаторные, но при этом являются инструментальными.</t>
  </si>
  <si>
    <t>Некоторые результаты (мероприятия) федеральных проектов оформляются как проектные или индикаторные, при этом содержательно они являются процессными или инструментальными.  По ряду мероприятий  неясно сформулированы плановые количественные показатели реализациии  мероприятия, допускающие двоякое толкование. Это осложняет процесс анализа, значительно затрудняет процесс контроля реализации федеральных и национальных проектов.</t>
  </si>
  <si>
    <t>1. Результат (мероприятие) 1.29 "Проведен мониторинг использования российскими компаниями - производителями компьютерного, серверного и телекоммуникационного оборудования отечественных комплектующих, включая электронную компонентную базу (ЭКБ)" предполагает проведение ежегодных мониторингов, что является процессом. Несмотря на это, у результата (мероприятия) указаны конкретные (ненулевые и неединичные) целевые показатели, которые предполагается достигать ежегодно: на 31.12.2019 - 1 шт на 31.12.2020 - 2 шт на 31.12.2021 - 3 шт. (с. 13). (ФП "Информационная безопасность)
2. Результат (мероприятие) 1.42 "Разработаны и реализованы меры по выделению грантов аспирантам и молодым ученым и проведению научно-образовательных и проектных мероприятий в области информационной безопасности для задач цифровой экономики" ФП "Информационная безопасность" предполагает разработку и реализацию мер поддержки аспирантов и молодых ученых, однако конкретные меры, равно как и план их реализации, в содержании текста федерального проекта не просматриваются. Несмотря на это, у результата (мероприятия) указаны конкретные (ненулевые и неединичные) целевые показатели, которые предполагается достигать ежегодно: на 31.12.2019 - 0 УСЛ ЕД, на 31.12.2020 - 3 УСЛ ЕД, на 31.12.2021 - 7 УСЛ ЕД, на 31.12.2022 - 2 УСЛ ЕД, на 31.12.2023 - 2 УСЛ ЕД, на 31.12.2024 - 2 УСЛ ЕД. (с. 18). При этом, в Плане мероприятий также отсутствует детализация по разработке и реализации рассматриваемых мер: в документе используется шаблонная форма с контрольными точками и мероприятия без конкретизации (с. 329 - 335). (ФП "Информационная безопасность")
3.  По 4 результатам из 36 федерального проекта D3. Так, по  результату 21 федерального проекта D3 "Кадры для цифровой экономики Российской Федерации" указано: "Поддержаны компании, реализующие  проекты в области образовательных технологий (накопительным итогом), на 31.12.2024 - 200 шт. При этом характеристика результата отсутствует, не указан вид поддержки, нет пояснений в чем заключается поддержка. Вместе с тем, исходя из формулировки контрольных точек  по данному результату можно предположить, что подразумеваются бюджетные  инвестиции юридическим лицам. Аналогичная проблема выявлена по результатам 20, 22, 27 федерального проекта  D3.</t>
  </si>
  <si>
    <t>1. Федеральный проект "Информационная безопасность".
2. Федеральный проект  D3 "Кадры для цифровой экономики"</t>
  </si>
  <si>
    <t>Как следствие, возможно различное толкование достижения результата, затруднительно достоверно сделать привязку к государственной программе, кодам КБК расходов федерального бюджета.</t>
  </si>
  <si>
    <t>Мероприятия дублируются по смыслу.</t>
  </si>
  <si>
    <t>Некоторые мероприятия дублируются по смыслу. Это затрудняет анализ и вызывает дополнительные вопросы к разделу документов о финансовом обеспечении.</t>
  </si>
  <si>
    <r>
      <t xml:space="preserve">1. Переоснащение медицинским оборудованием региональных медицинских организаций, оказывающих помощь больным онкологическими заболеваниями (диспансеров/больниц) </t>
    </r>
    <r>
      <rPr>
        <b/>
        <sz val="10"/>
        <rFont val="Arial"/>
        <family val="2"/>
        <charset val="204"/>
      </rPr>
      <t xml:space="preserve">(в характеристике результата указан целевой показатель). </t>
    </r>
    <r>
      <rPr>
        <sz val="10"/>
        <color rgb="FF000000"/>
        <rFont val="Arial"/>
        <family val="2"/>
        <charset val="204"/>
      </rPr>
      <t>Завершено переоснащение медицинским оборудованием не менее 160 региональных медицинских организаций, оказывающих помощь больным онкологическими заболеваниями (диспансеров/больниц).
2. Пункты 1.39 и 1.40 раздела 3 «Задачи и результаты федерального проекта» федерального проекта D6 «Цифровое государственное управление» по смыслу дублируют друг друга:
 - (п. 1.39) Обеспечены законодательные, правовые и методические основы управления жизненным циклом объектов капитального строительства с использованием технологий информационного моделирования и внедрения платформы «Цифровое строительство» (с учётом утверждённого плана мероприятий);
 - (п. 1.40) Создана нормативно-техническая база управления жизненным циклом объектов капитального строительства с использованием технологий информационного моделирования и внедрения платформы "Цифровое строительство" (с учётом утверждённого плана мероприятий)
 При этом одной из характеристик результата является «Созданы организационные и нормативные основы управления жизненным циклом объектов капитального строительства на основе технологий информационного моделирования.»</t>
    </r>
  </si>
  <si>
    <t>1. Федеральный проект "Борьба с онкологическими заболеваниями".
2. Федеральный проект D6 «Цифровое государственное управление»</t>
  </si>
  <si>
    <t>Кулаков В.В.
Васильева Л.А.</t>
  </si>
  <si>
    <t>1. По сути перепутаны сущности (управленческие понятия) в тексте проекта. Переоснащение - это результат. Завершение переоснащения - контрольная точка.
2. Свидетельствует о недосточной проработке федерального проекта.</t>
  </si>
  <si>
    <t>Мероприятия дублируются.</t>
  </si>
  <si>
    <t>Прямое дублирование мероприятий в рамках одного федерального проекта</t>
  </si>
  <si>
    <t xml:space="preserve">Так, в федеральном проекте "Кадры для цифровой экономики"  формулировка мероприятия10 дублирует  формулировку меропрития 5: "Представлены гранты в форме субсидий на создание и поддержку функционирования организаций дополнительного образования детей и (или) детских оюъединений на базе школ для углубленного изучения математики и информатики (накопительным итогом)".  Формулировка мероприятия 12 идентична формулировке мероприятия 6: "Разработаны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 при этом по мероприятиям 6 и 12 различаются  различаются их характеристики и количественные показатели. </t>
  </si>
  <si>
    <t>ФП "Кадры для цифровой экономики" (D3)</t>
  </si>
  <si>
    <t>Груздева Е.П.</t>
  </si>
  <si>
    <t>Затрудняется анализ федерального проекта. Дублирование мероприятий ведет к некорректному обоснованию финансового обеспечения  федерального проекта. Свидетельствует о недосточной проработке национальных проектов.</t>
  </si>
  <si>
    <t>Малая доля индикаторных мероприятий.</t>
  </si>
  <si>
    <t>У ряда федеральных проектов отсутствуют или практически отсутствуют конкретные проектные или индикаторные результаты (мероприятия). Это затрудняет процесс анализа как содержания самих мероприятий, так и их связанности с ключевыми действиями, механизмами, а также целями национальных проектов и национальными целями.</t>
  </si>
  <si>
    <t>56 результатов (мероприятий) ФП "Информационная безопасность" сформулированы таким образом, что все они могут быть отнесены к инструментальным. Их содержание неконкретно и не имеет детализированных целевых показателей и способов их достижения.</t>
  </si>
  <si>
    <t>1. Федеральный проект "Информационная безопасность".</t>
  </si>
  <si>
    <t>ГП не структурированы в логике основных мероприятий</t>
  </si>
  <si>
    <t>Существует разница в структуре государственных программ, так как не каждая государственная программа структурирована в логике основных мероприятий. Это осложняет процесс аналиа мероприятий государственных программ</t>
  </si>
  <si>
    <t>В ГП "Развитие здравоохранения" имеется только одно основное мероприятие. Все остальное это ФП и ВЦП</t>
  </si>
  <si>
    <t>ГП "Развитие здравоохранения"</t>
  </si>
  <si>
    <t>Кулаков, Аносова, Васильева, Коваленко</t>
  </si>
  <si>
    <t>Данный "диагноз" относится ко всем пилотным государственным программам.</t>
  </si>
  <si>
    <t>У результатов отсутствуют характеристики.</t>
  </si>
  <si>
    <t>У ряда федеральных проектов отсутствуют (не прописаны) характеристики результатов (задач) федерального проекта. Как правило, по данным результатам отсутствует взаимосвязь инструментов и индикаторов, нечетко отпределены количественные показатели их реализации, что затрудняет оценку результативности.</t>
  </si>
  <si>
    <t>1. В федеральном проекте D3 "Кадры для цифровой экономики" по 29  задачам (результатам) из 36 отсутствует  характеристика результата.
2. В Федеральном проекте "Сохранение озера Байкал" результат 1.11 "Резерв средств федерального проекта для обеспечения реализации мероприятий" отсутствует характеристика результата (с. 7).</t>
  </si>
  <si>
    <t>1. Национальный проект "Национальная программа "Цифровая экономика Российской Федерации"
2. Федеральный проект "Кадры для цифровой экономики"
3. Федеральный проект "Сохранение озера Байкал"</t>
  </si>
  <si>
    <t>Груздева Е.П.
Терентьев В. Ю.</t>
  </si>
  <si>
    <t xml:space="preserve">Затрудняется оценка результативности и эффективности реализации федеральных проектов </t>
  </si>
  <si>
    <t>Разные целевые показатели у одних и тех же ФП в паспортах проектов и государственных программах.</t>
  </si>
  <si>
    <t xml:space="preserve"> </t>
  </si>
  <si>
    <t>Несоответствие целевых показателей результатов, запланированных в федеральных проектах, целевым показателям результатов этих проектов, указанным в государственных программах. 
Это затрудняет процесс анализа достижения результатов федерального проекта. Значительно затрудняет процесс контроля реализации федерального проекта.</t>
  </si>
  <si>
    <t>1. Количество подключенных к системе государственных (муниципальных) органов и учреждений по состоянию на 31 декабря 2024 года в федеральном проекте D6 «Цифровое государственное управление» в 2 раза больше, чем по основному мероприятию 4.D6 подпрограммы «Информационное государство» Госпрограммы «Информационное общество»:
 - в федеральном проекте D6 «Цифровое государственное управление» по мероприятию «Усовершенствованы механизмы обработки обращений, мониторинга и анализа результатов рассмотрения обращений. Подключены к инфраструктуре единой системы по работе с обращениями граждан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 (пункт 1.30 «Задачи и результаты федерального проекта» и пункт 34 «План мероприятий по реализации федерального проекта») количество подключенных к системе государственных (муниципальных) органов и учреждений) - 40 тыс. ед.;
 - по основному мероприятию 4.D6 ожидаемый результат в части: число государственных органов, органов местного самоуправления, государственных и муниципальных учреждений, иных организаций, осуществляющих публично значимые функции, подключенных к инфраструктуре Единой сети обращения граждан и исполняющих единый механизм обработки результатов рассмотрения обращений граждан - 20 тыс. ед.</t>
  </si>
  <si>
    <t>Федеральный проект D6 «Цифровое государственное управление»; 
 Госпрограмма «Информационное общество»</t>
  </si>
  <si>
    <t>Васильева ЛА.</t>
  </si>
  <si>
    <t>Свидетельствует о недосточной проработке федерального проекта.</t>
  </si>
  <si>
    <t>Результатом одного ФП может быть реализация другого ФП.</t>
  </si>
  <si>
    <t>Результатом федерального проекта может быть реализация другого федерального проекта. Это означает, что у федерального проекта есть своя иерархия и взаимосвязь, что требует отдельного подхода.</t>
  </si>
  <si>
    <t>Результат ФП "Экспорт услуг" 1.25.: Реализован федеральный проект "Экспорт медицинских услуг" (в составе национального проекта "Здравоохранение"), предусматривающий достижение показателей экспорта в составе категории "Поездки" в 2024 году в объеме 1,00 млрд. долл. США.</t>
  </si>
  <si>
    <t>Федеральный проект "Экспорт услуг"</t>
  </si>
  <si>
    <t>Кулаков В.В.</t>
  </si>
  <si>
    <t>Задачи ФП не имеют конкретных мероприятий.</t>
  </si>
  <si>
    <t>У ряда задач Раздела 3 некоторых федеральных проектов отсутствуют мероприятия. Из-за этого становится невозможным проанализировать достижение этих задач, сопоставить их с мероприятиями в рамках Плана мероприятий.</t>
  </si>
  <si>
    <t>Задача 1 ФП "Оздоровление Волги": "Сокращение в три раза доли загрязненных сточных вод, отводимых в реку Волгу, Обеспечение устойчивого функционирования водохозяйственного комплекса Нижней Волги, Ликвидация объектов накопленного экологического вреда, представляющих угрозу р. Волге, Снижение негативного воздействия затонувших судов" не имеет мероприятий, поле 1.1 пустое (с. 4).</t>
  </si>
  <si>
    <t>Федеральный проект "Оздоровление Волги"</t>
  </si>
  <si>
    <t>Мероприятия ФП дублируют задачи ФП.</t>
  </si>
  <si>
    <t>У ряда результатов (мероприятий) федеральных проектов в Разделе 3 формулировка конкретного результата совпадает с формулировкой задачи. Это нивелирует разницу между объектами разного уровня внутри иерархии федерального проекта.</t>
  </si>
  <si>
    <t>1. Задача 5 ФП "Сохранение уникальных водных объектов" имеет такую же формулировку, как и результат 5.1: "Количество населения, вовлеченного в мероприятия по очистке берегов водных объектов".
2. Задача 6 ФП "Сохранение уникальных водных объектов" имеет такую же формулировку, как и результат 6.1: "Количество населения, улучшившего экологические условия проживания вблизи водных объектов" (с. 5).</t>
  </si>
  <si>
    <t>Федеральный проект "Сохранение уникальных водных объектов"</t>
  </si>
  <si>
    <t>Разные целевые показатели в наименовании мероприятия и его характеристике.</t>
  </si>
  <si>
    <t>Несоответствие значений результатов мероприятий, указанных в федеральных проектах.
 Это вызывает недопонимание того, какие результаты реализации мероприятий в рамках федеральных проектов запланированы в действительности.</t>
  </si>
  <si>
    <t>ПУНКТ 1.38 раздела 3 «Задачи и результаты федерального проекта»:
 - в графе «Наименование задачи, результата» к 31 декабря 2024 году запланировано разработать 34 плана цифровой трансформации отраслей экономики и секторов социальной сферы через акселерацию цифровых платформ;
 - в графе «Характеристика результата» указано, что будет разработано 15 планов.</t>
  </si>
  <si>
    <t>Федеральный проект D6 «Цифровое государственное управление»</t>
  </si>
  <si>
    <t>Васильева Л. А.</t>
  </si>
  <si>
    <t>Оказание услуг (выполнение работ)</t>
  </si>
  <si>
    <t>A2</t>
  </si>
  <si>
    <t>Проведение массовых мероприятий</t>
  </si>
  <si>
    <t>Благоустройство территории, ремонт объектов недвижимого имущества</t>
  </si>
  <si>
    <t>Создание (развитие) информационно-телекоммуникационного сервиса (информационной системы)</t>
  </si>
  <si>
    <t>нет привязки к индикатору</t>
  </si>
  <si>
    <t>Проведение образовательных мероприятий</t>
  </si>
  <si>
    <t>05</t>
  </si>
  <si>
    <t>A3</t>
  </si>
  <si>
    <t>Проведение информационно-коммуникационной кампании</t>
  </si>
  <si>
    <t>D</t>
  </si>
  <si>
    <t>Цифровая экономика</t>
  </si>
  <si>
    <t>D1</t>
  </si>
  <si>
    <t>Создание системы правового регулирования цифровой экономики, основанного на гибком подходе в каждой сфере, а также внедрение гражданского оборота на базе цифровых технологий</t>
  </si>
  <si>
    <t>Созданы правовые условия для формирования единой цифровой среды доверия в части: 
 - уточнения правового статуса удостоверяющих центров, установления унифицированных требований к универсальной (единой) усиленной квалифицированной электронной подписи;
 - расширения возможностей и способов идентификации</t>
  </si>
  <si>
    <t>Устранены правовые ограничения в целях расширения применения электронной подписи</t>
  </si>
  <si>
    <t>Принятие нормативного правового (правового) акта</t>
  </si>
  <si>
    <t xml:space="preserve">
</t>
  </si>
  <si>
    <t>Созданы правовые условия для формирования сферы электронного гражданского оборота в части: 
 - определения совершаемых в письменной (электронной) форме сделок, автоматизированных («самоисполняемых») договоров; 
 - процедур хранения электронных документов, создания, хранения и использования электронных дубликатов (электронных образов) бумажных документов</t>
  </si>
  <si>
    <t>Обеспечен эффективный электронный гражданский оборот посредством уточнения и при необходимости определения новых и/или уточнения существующих: требований к формам сделок (сделка в письменной электронной форме)​; Определены и уточнены:- понятие электронного дубликата/образа бумажного документа и иные необходимые понятия;- условия признания юридической силы электронного документа (в т. ч. в процессе его долговременного и постоянного хранения);</t>
  </si>
  <si>
    <t>Обеспечены благоприятные правовые условия для сбора, хранения и обработки данных с использованием новых технологий, в части установления порядка обезличивания персональных данных, условий и порядка их использования, уточнения ответственности за их ненадлежащую обработку, порядка получения согласия на их обработку</t>
  </si>
  <si>
    <t>Усовершенствован порядок работы с согласиями, установлен порядок обезличивания персональных данных, условия и порядок их использования</t>
  </si>
  <si>
    <t>15</t>
  </si>
  <si>
    <t>Обеспечены правовые условия для внедрения и использования инновационных технологий на финансовом рынке: 
 - определен правовой статус и порядок оборота цифровых финансовых активов</t>
  </si>
  <si>
    <t>Определен правовой статус и порядок оборота цифровых финансовых активов, а также порядок выпуска, учета, обращения и хранения цифровых прав</t>
  </si>
  <si>
    <t>Приняты нормативные правовые акты, обеспечивающие стимулирование развития цифровой экономики, в части установления условий налогообложения НДС операций по экспорту работ, услуг, аналогичных условиям налогообложения операций по экспорту товаров</t>
  </si>
  <si>
    <t>Обеспечено стимулирование плательщиков НДС, оказывающих ИТ-услуги</t>
  </si>
  <si>
    <t>Сформированы правовые условия в сфере судопроизводства и нотариата в связи с развитием цифровой экономики в части:
 - унификации правил подачи исковых заявлений, жалоб, ходатайств, а также иных заявлений и ходатайств в электронной форме, а также допустимости электронных доказательств; 
 - дистанционного участия в судебном заседании; 
 - развития инструментов электронного нотариата (изготовление нотариальных документов в электронной форме, дистанционное совершение нотариальных действий и т.д.)</t>
  </si>
  <si>
    <t>Закреплена возможность совершения нотариальных действий путем изготовления нотариального документа в электронном виде,Обеспечена возможность подачижалоб, ходатайств, иных заявлений и ходатайств в электронной форме, а также допустимости электронных доказательств, дистанционного участия в судебном заседании</t>
  </si>
  <si>
    <t>Обеспечено нормативное регулирование цифрового взаимодействия предпринимательского сообщества и государства в том числе в части:
 - учета сведений о трудовой деятельности работника в электронном виде («электронная трудовая книжка»);
 - заключения, изменения, расторжения и хранения трудовых договоров, внедрения кадрового документооборота в электронном виде</t>
  </si>
  <si>
    <t>​Внедрена электронная трудовая книжка и возможность ведения электронного кадровогодокументооборота</t>
  </si>
  <si>
    <t>Сформировано отраслевое регулирование, необходимое для развития цифровой экономики в части регулирования правоотношений в сфере робототехники и применения технологий искусственного интеллекта</t>
  </si>
  <si>
    <t>Урегулированы правоотношения в сфере робототехники и применения технологий искусственного интеллекта</t>
  </si>
  <si>
    <t>Одобрены и обеспечена реализация концепций: 
 - комплексного правового регулирования отношений, возникающих в связи с развитием цифровой экономики;
 - организации процесса управления изменениями в области регулирования цифровой экономики, предусматривающих расширение мероприятий федерального проекта, в том числе за счет придания гибкости правовому регулированию цифровой экономики иными отраслями законодательства</t>
  </si>
  <si>
    <t>Обеспечена гармонизация терминологии, используемой в различных нормативных правовых актах. Определены основные направления развития законодательства в целях его адаптации к цифровой экономике.Сформированы предложения по комплексному регулированию различными отраслями законодательства (гражданским, административным, уголовным, образовательным и трудовым и т.п.) направлений цифровой экономики.Определена организационная система сбора информации о качестве регулирования цифровой экономики и разработки, согласования и принятия соответствующих нормативных правовых актов.</t>
  </si>
  <si>
    <t>Определена позиция Российской Федерации по вопросам, способствующим развитию цифровой экономики и гармонизации подходов в этой сфере на пространстве ЕАЭС</t>
  </si>
  <si>
    <t>​Сформированы предложения Российской Стороны по приоритетным инициативам в рамках реализации цифровой повестки ЕАЭС, определены и запланированы действия Российской Стороны по внесению в право ЕАЭС изменений, направленных на устранение существующих в праве ЕАЭС правовых ограничений для развития цифровой экономики.</t>
  </si>
  <si>
    <t>Сформированы правовые условия для наиболее эффективного использования результатов интеллектуальной деятельности в условиях цифровой экономики</t>
  </si>
  <si>
    <t>Уточнен порядок оборота прав на программы для ЭВМ и определены особенности взаимоотношений совладельцев исключительного права</t>
  </si>
  <si>
    <t>Реализован комплекс мер по совершенствованию механизмов стандартизации</t>
  </si>
  <si>
    <t>Комплексное реформирование законодательства в области подтверждения соответствия в целях повышения конкурентоспособности российских технологий и российского бизнеса за счет применения результатов вычислительных экспериментов при проведении процедур подтверждения соответствия</t>
  </si>
  <si>
    <t>Обеспечена экспертно-аналитическая и научно-методическая поддержка уполномоченного федерального органа исполнительной власти, ответственного за реализацию плана мероприятий федерального проекта «Нормативное регулирование цифровой среды» национальной программы «Цифровая экономика Российской Федерации»</t>
  </si>
  <si>
    <t>04</t>
  </si>
  <si>
    <t>Подготовлены и направлены в федеральные органы исполнительной власти проекты нормативных правовых актов, одобренные решениями Рабочей группы по нормативному регулированию АНО «Цифровая экономика», а также направлены экспертные заключения на поступившие проекты нормативных правовых актов в федеральные органы исполнительной власти и/или в АНО «Цифровая экономика»</t>
  </si>
  <si>
    <t>12</t>
  </si>
  <si>
    <t>Обеспечены правовые условия для внедрения и использования инновационных технологий на финансовом рынке: 
 - определены порядок и формы осуществления краудфандинговой деятельности</t>
  </si>
  <si>
    <t>Урегулирована деятельность инвестиционных платформ</t>
  </si>
  <si>
    <t>Обеспечено законодательное регулирование вопросов создания и функционирования особых правовых режимов в условиях цифровой экономики («регуляторных песочниц»)</t>
  </si>
  <si>
    <t>Создан механизм формирования регуляторных песочниц в любой из сфер цифровой экономики</t>
  </si>
  <si>
    <t>Разработан комплекс мер, направленных на стимулирование (в том числе налоговое) частных инвесторов, осуществляющих инвестиции в российские высокотехнологичные проекты субъектов малого и среднего предпринимательства на ранней стадии их реализации, исходя из результативности указанных инвестиций</t>
  </si>
  <si>
    <t>Разработан комплекс мер,направленных на стимулирование (в том числе налоговое)частных инвесторов, осуществляющих инвестиции в российские высокотехнологичные проекты субъектов малого и среднего предпринимательства на ранней стадии их реализации, исходя из результативности указанных инвестиций.</t>
  </si>
  <si>
    <t>D2</t>
  </si>
  <si>
    <t>Создание глобальной конкурентоспособной инфраструктуры передачи, обработки и хранения данных преимущественно на основе отечественных разработок</t>
  </si>
  <si>
    <t>Разработан план-график создания телекоммуникационной инфраструктуры магистральных каналов связи на территории Чукотского автономного округа с выходом в единую сеть электросвязи Российской Федерации</t>
  </si>
  <si>
    <t>Разработаны и утверждены правила предоставления субсидии на финансовое обеспечение расходов, связанных с реализацией мероприятия по присоединению Чукотского автономного округа к единой сети электросвязи Российской Федерации. Победителем конкурсного отбора проведены необходимые работы и разработан план-график создания телекоммуникационной инфраструктуры магистральных каналов связи на территории Чукотского автономного округа. Данный план-график утвержден.</t>
  </si>
  <si>
    <t>Обеспечено функционирование магистральных каналов связи на территории Чукотского автономного округа в соответствии с показателями, предусмотренными планом-графиком присоединения Чукотского автономного округа к единой сети электросвязи Российской Федерации, разработанным Минкомсвязью России</t>
  </si>
  <si>
    <t>23</t>
  </si>
  <si>
    <t>Определен перечень органов государственной власти, подлежащих подключению к сети «Интернет», а также подготовка плана поэтапного подключения органов государственной власти</t>
  </si>
  <si>
    <t>Сформирован и утвержден перечень органов государственной власти, подлежащих подключению к сети «Интернет», а также подготовлен план поэтапного подключения органов государственной власти.</t>
  </si>
  <si>
    <t>Обеспечено оказание универсальных услуг связи на территории Российской Федерации, в том числе к концу 2021 года обеспечено оказание универсальных услуг по передаче данных и предоставлению доступа к сети «Интернет» с использованием точек доступа в 13958 населенных пунктах с численностью населения от 250 до 500 человек</t>
  </si>
  <si>
    <t>Обеспечено оказание универсальных услуг по передаче данных и предоставлению доступа к сети «Интернет» с использованием точек доступа в 13958 населенных пунктах с численностью населения от 250 до 500 человек</t>
  </si>
  <si>
    <t>Создана подводная волоконно-оптическая линия передачи г. Петропавловск-Камчатский – г. Анадырь.В результате выполнения мероприятия будут достигнуты следующие целевые показатели:на 31.12.2021 - получено положительное заключение государственной экспертизы, в том числе экспертизы проектной документации и результатов инженерных изысканий, экспертизы достоверности сметной стоимости объекта на 31.12.2022 - достигнута пропускная способность волоконно-оптической линии передачи - 100 Гбит/сРеализация мероприятия завершается в 2022 году.</t>
  </si>
  <si>
    <t>10</t>
  </si>
  <si>
    <t>Мероприятие</t>
  </si>
  <si>
    <t>Создана защищенная цифровая среда аудиовизуального взаимодействия государственных органов, организаций и граждан на федеральном, региональном и муниципальном уровнях</t>
  </si>
  <si>
    <t>В ходе реализации мероприятия будут достигнуты следующие целевые показатели:
 на 31.12.2021 - создан компонент защищенной цифровой среды аудиовизуального взаимодействия федерального уровня и представлен отчет о его создании.на 31.12.2024 - создана и введена в эксплуатацию защищенная цифровая среда аудиовизуального взаимодействия государственных органов, организаций и граждан на федеральном, региональном и муниципальном уровнях. Представлены отчет оее создании и акт ввода в эксплуатацию.</t>
  </si>
  <si>
    <t>id_НП</t>
  </si>
  <si>
    <t>id_ФП</t>
  </si>
  <si>
    <t>id_М_ФП</t>
  </si>
  <si>
    <t>id_М_ГП</t>
  </si>
  <si>
    <t>П</t>
  </si>
  <si>
    <t>Механизм влияния на НЦ (доказательства)</t>
  </si>
  <si>
    <t>Финансирование за весь срок (ФП), млн руб.</t>
  </si>
  <si>
    <t>Финансирование за 2019-2022 гг (ФП), млн руб.</t>
  </si>
  <si>
    <t>Финансирование за 2019-2022 гг (ЭБ), млн руб.</t>
  </si>
  <si>
    <t>Тип мероприятия</t>
  </si>
  <si>
    <t>Финансирование ФП, млн руб</t>
  </si>
  <si>
    <t>Финансирование ЭБ, млн руб</t>
  </si>
  <si>
    <t>Источник КБК</t>
  </si>
  <si>
    <t>Функционирует система распределенных ситуационных центров высших органов государственной власти Российской Федерации, работающих по единому регламенту взаимодействия</t>
  </si>
  <si>
    <t>Представлен отчет о реализации мероприятия по созданию системы распределенных ситуационных центров</t>
  </si>
  <si>
    <t>Законодательно обеспечено за счет средств федерального бюджета предоставление субсидий АО "Корпорация "МСП" на финансовое обеспечение исполнения обязательств АО "Корпорация "МСП" по гарантиям, предоставленным субъектам МСП в период с 2019 по 2024 гг., в целях увеличения объемов гарантийной поддержки в рамках расширения объемов кредитования субъектов МСП в рамках Национальной гарантийной системы (далее - НГС)</t>
  </si>
  <si>
    <t xml:space="preserve">В Федеральный закон от 24 июля 2007 г. № 209-ФЗ "О развитии малого и среднего предпринимательства в Российской Федерации" внесены изменения, предусматривающие предоставление субсидий АО "Корпорация "МСП" на компенсацию потерь по резервам, сформированным по выданным гарантиям субъектам МСП в целях увеличения объемов гарантийной поддержки в рамках расширения объемов кредитования субъектов МСП в рамка </t>
  </si>
  <si>
    <t>I</t>
  </si>
  <si>
    <t>I4</t>
  </si>
  <si>
    <t>1.1</t>
  </si>
  <si>
    <t>Обеспечен широкополосный доступ к сети «Интернет» и услуги по передаче данных при осуществлении доступа к этой сети военных комиссариатов согласно представленному перечню</t>
  </si>
  <si>
    <t>Все военные комиссариаты подключены к сети «Интернет» и обеспечены услугой</t>
  </si>
  <si>
    <t>ПРИМЕР: НГС должен обеспечивать благоприятные условия для развития МСП в субъектах РФ, что способствует социально-экономическому развитию субъектов РФ</t>
  </si>
  <si>
    <t>Федеральный проект 1</t>
  </si>
  <si>
    <t>Создана и введена в промышленную эксплуатацию система раннего предупреждения о компьютерных атаках на телекоммуникационную инфраструктуру Российской Федерации</t>
  </si>
  <si>
    <t>Успешно функционирующая Система раннего предупреждения о компьютерных атаках на телекоммуникационную инфраструктуру Российской Федерации создана и введена в промышленную эксплуатацию</t>
  </si>
  <si>
    <t>Установлены на федеральном уровне базовые правила и принципы организации нестационарной и мобильной торговли, осуществляемой субъектами малого и среднего предпринимательства (далее - МСП)</t>
  </si>
  <si>
    <t>Обеспечена реализация права предпринимателей на осуществление нестационарной и мобильной торговли (развозной) за счет законодательного закрепления прозрачных правил предоставления мест для нестационарных и мобильных торговых объектов, долгосрочного характера договоров на размещение с правом продления их действия с добросовестными хозяйствующими субъектами без торгов, предоставления компенсационных</t>
  </si>
  <si>
    <t>I1</t>
  </si>
  <si>
    <r>
      <t>раздел V пункт 3 Стратегии </t>
    </r>
    <r>
      <rPr>
        <sz val="12"/>
        <rFont val="Calibri"/>
        <family val="2"/>
        <charset val="204"/>
      </rPr>
      <t>устойчивого развития сельских территорий Российской Федерации на период до 2030 года</t>
    </r>
  </si>
  <si>
    <t xml:space="preserve">Установление базовых правил нестационарной  и мобильной торговли обеспечивает возможность предпринисмателям осуществлять данный вид деятельности
</t>
  </si>
  <si>
    <t>Обеспечение целевой архитектуры центров обработки данных федеральной государственной информационной системы ведения Единого государственного реестра недвижимости</t>
  </si>
  <si>
    <t>Росреестру оказана услуга по предоставлению вычислительных и сетевых ресурсов центров обработки данных для обеспечения функционирования ФГИС ЕГРН</t>
  </si>
  <si>
    <r>
      <t xml:space="preserve">Механизм позволит начать бизнес с минимальными вложениями со стороны хозяйствующего субъекта -  </t>
    </r>
    <r>
      <rPr>
        <sz val="10"/>
        <color rgb="FF000000"/>
        <rFont val="Times New Roman"/>
        <family val="1"/>
        <charset val="204"/>
      </rPr>
      <t xml:space="preserve">важна реальная возможность создания и использования начинающим предпринимателем низкозатратной с точки зрения первоначальных инвестиций инфраструктуры розничной торговли, в том числе рынков, ярмарок, </t>
    </r>
    <r>
      <rPr>
        <b/>
        <sz val="10"/>
        <color rgb="FF000000"/>
        <rFont val="Times New Roman"/>
        <family val="1"/>
        <charset val="204"/>
      </rPr>
      <t>нестационарной и мобильной торговли</t>
    </r>
    <r>
      <rPr>
        <sz val="10"/>
        <rFont val="Calibri"/>
        <family val="2"/>
        <charset val="204"/>
      </rPr>
      <t>. Вклад торговли и в общее развитие предпринимательства в стране отмечается в Стратегии развития торговли в Российской Федерации на 2015 - 2016 годы и период до 2020 года (именно торговля является первым ("стартовым") видом бизнеса для многих предпринимателей).</t>
    </r>
  </si>
  <si>
    <t>3</t>
  </si>
  <si>
    <t>нет</t>
  </si>
  <si>
    <t>Освобождены от обязанности предоставления налоговой декларации не менее1,2 млн.налогоплательщиков– субъектов МСП, применяющих упрощенную систему налогообложения с объектом налогообложения ввиде доходов и использующих контрольно-кассовую технику в 2020-2024 годах</t>
  </si>
  <si>
    <t>Обеспечено снижение административной нагрузки для малых предприятий,применяющих упрощенную систему налогообложения с объектом налогообложения в виде доходов, связанную с необходимостью заполнения и представления в налоговый орган налоговой декларации.</t>
  </si>
  <si>
    <t>1.2</t>
  </si>
  <si>
    <t>раздел IV пункт 6 Стратегии развития малого и среднего предпринимательства в Российской Федерации на период до 2030 года</t>
  </si>
  <si>
    <t xml:space="preserve">Снижение налоговой нагрузки позволяет снизить издержки компаний, а также способствует повышению доходов российских компаний, производящих контрольно-кассовую технику. </t>
  </si>
  <si>
    <t>Оказаны услуги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к информационным системам и к сети Интернет,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 и предоставлении доступа к указанным системам и сетям</t>
  </si>
  <si>
    <t>Механизм снижения издержек предпринимателей повлияет на рост доходов от предпринимательской деятельности</t>
  </si>
  <si>
    <t>Социально значимым объектам предоставлены услуги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и передаче данных,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 и предоставлении доступа к указанным системам и сетям</t>
  </si>
  <si>
    <t>Проведена ежегодная лотерея фискальных чеков среди потребителей товаров (работ,услуг) субъектов МСП в целях стимулирования их к легализации транзакций</t>
  </si>
  <si>
    <t>Снижен уровень теневой занятости посредством привлечения граждан к контрольным мероприятиям над налогоплательщиками,использующими контрольно- кассовую технику.</t>
  </si>
  <si>
    <t>1.3</t>
  </si>
  <si>
    <t>логика отсутвует</t>
  </si>
  <si>
    <t>Снижен уровень теневой занятости</t>
  </si>
  <si>
    <t>Улучшены условия деятельности субъектов МСП, применяющих упрощенную систему налогообложения (далееУСН)-введен переходный налоговый режим для субъектов МСП, утративших право на применение УСН в результате превышения пределов по выручке и (или) численности работников</t>
  </si>
  <si>
    <t>Установлен специальный налоговый режим, обеспечивающий комфортные условия перехода предприятий, применяющих упрощенную систему налогообложения, на общий режим налогообложения.</t>
  </si>
  <si>
    <t>1.4</t>
  </si>
  <si>
    <t>ОМ 2.2. приложение 1</t>
  </si>
  <si>
    <t>Применение специального налогового режима позволит снизить затраты субъектов МСП на налоговые платежи, соответственно, повысит их прибыль и будет способствовать росту малых и средних предприятий, что должно ускорить социально-экономическое развитие регионов.</t>
  </si>
  <si>
    <t>Обеспечено среднегодовое снижение стоимости тарифа на услугу доступа к информационно-телекоммуникационной сети "Интернет", оказываемую операторами связи на территории Чукотского автономного округа, из расчета 1 ГБ трафика - не менее чем на 40%</t>
  </si>
  <si>
    <t>Значение показателя рассчитывается как отношение среднегодовой стоимости тарифов операторов подвижной радиотелефонной и стационарной связи, оказывающих услуги доступа к сети Интернет на территории Чукотского автономного округа, на отчетную дату текущего года к средней стоимости тарифов операторов подвижной радиотелефонной и стационарной связи, оказывающих услуги доступа к сети Интернет на территории Чукотского автономного округа, на сентябрь 2019 г. (из расчета 1 ГБ трафика).</t>
  </si>
  <si>
    <t>Законодательно закреплены единые подходы к созданию (сучетом спецификисоздания промпарков и технопарков для субъектов МСП), развитию,обеспечению функционирования, финансированию и оценке эффективности территорий с особыми условиями осуществления предпринимательской деятельности</t>
  </si>
  <si>
    <t>Обеспечено принятие федерального закона и подзаконных актов, устанавливающих единые подходы к созданию, обеспечению функционирования, финансированию и оценке эффективности инструментов развития территорий и применения особых режимов осуществления предпринимательской деятельности, учитывающих территориальные и отраслевые особенности регионов</t>
  </si>
  <si>
    <t>1.5</t>
  </si>
  <si>
    <t>2.I1 (пункт 9 (контрольное событие 2.2) приложение 11)</t>
  </si>
  <si>
    <t>Создание особых территорий для ведения предпринимательской деятельности позволяет снизить фиксированные издержки для создания новых компаний, в том числе издержки для входа компаний на рынок. Кроме того, локализует компании в крупных региональных кластерах, что позволяет снизить издержки для поиска клиентской базы и взаимодействия с регуляторами.</t>
  </si>
  <si>
    <t>Принятие закона о едином механизме создания и развития территорий с особыми условиями осуществления предпринимательской деятельности является инструментом экономического роста региона. Увеличение ВРП приведет к росту доходов населения в регионе.</t>
  </si>
  <si>
    <t>Законодательно закреплено определение "Социальное предпринимательство" в
целях оказания поддержки субъектам МСП, осуществляющим деятельность в данной сфере</t>
  </si>
  <si>
    <t>Обеспечена возможность оказания специальных мер поддержки для социальных предпринимателей.</t>
  </si>
  <si>
    <t>1.6</t>
  </si>
  <si>
    <t>пункт 22 (контрольное событие 2.15) приложение 11</t>
  </si>
  <si>
    <t>Создание единого определения позволяет снизить административные барьеры для входа субъектов на рынок</t>
  </si>
  <si>
    <t>Утверждена стратегия развития туризма в Российской Федерации на период до 2035 года</t>
  </si>
  <si>
    <t>Определены цели и задачи стратегического планирования в сфере развития туризма, установлены целевые показатели вклада сектора МСП в развитие туристической отрасли в Российской Федерации.</t>
  </si>
  <si>
    <t>Проведены научно-исследовательские работы по технологическому совершенствованию и регуляторным изменениям в сфере электросвязи и почтовой связи, в том числе в области создания, развития и использования сетей связи, спутниковых систем связи, систем телевизионного и радиовещания</t>
  </si>
  <si>
    <t>1.7</t>
  </si>
  <si>
    <t>Проведение научно-исследовательских работ по технологическому
 совершенствованию и регуляторным изменениям в сфере электросвязи и почтовой связи, в том числе в области создания, развития
 и использования сетей связи, спутниковых систем связи, систем телевизионного и
 радиовещания» Федерального проекта «Информационная инфраструктура» национальной
 программы «Цифровая экономика Российской Федерации», планируемого к выполнению
 Федеральным агентством связи в 2020-2022 годах</t>
  </si>
  <si>
    <t>Предполагается, что стратегия развития туризма будет снижать издержки входа на рынок для новых туристических компаний, однако без деталей данной стратегии невозможно определить направление ее деятелности</t>
  </si>
  <si>
    <t>Проведение научно-исследовательских (опытно-конструкторских) работ, реализация проекта внедрения новой информационной технологии</t>
  </si>
  <si>
    <t>Реализован механизм снятия административных ограничений для ведения предпринимательской деятельностии управления системными изменениями предпринимательской среды"Трансформация делового климата"" в 2019-2024 гг.</t>
  </si>
  <si>
    <t>Обеспечен сбор и обсуждение предложений бизнеса, субъектов Российской Федерации, организаций по устранению избыточных и устаревших норм с последующим включением в распоряжение Правительства Российской Федерации</t>
  </si>
  <si>
    <t>1.8</t>
  </si>
  <si>
    <t>пункт 16 ОМ 2.I1 приложение 1</t>
  </si>
  <si>
    <t>Снятие административных огранчиений должно способствовать снижению фиксированных и вариативных издержек и в общем повышать уровень выручки субъектов МСП</t>
  </si>
  <si>
    <t>Общее количество объектов государственного и муниципального имущества, включенных в перечни государственного и муниципального имущества для предоставления субъектам МСП на льготных условиях,тыс.ед. нарастающим итогом</t>
  </si>
  <si>
    <t xml:space="preserve">Расширен состав перечней государственного и муниципального имущества, предназначенного для предоставления в аренду субъектам МСП, за счет выявленного имущества, в том числе неиспользуемого, неэффективно используемого или используемого не по назначению, учтенного в реестрах государственного и муниципального имущества. </t>
  </si>
  <si>
    <t>1.9</t>
  </si>
  <si>
    <t>Обеспечено развитие, поддержание и эксплуатация инфраструктуры российского государственного сегмента сети «Интернет» (сеть RSNet)</t>
  </si>
  <si>
    <t>Сформирована инфраструктура российского государственного сегмента сети "Интернет" (сеть RSNet) и обеспечивается её развитие, поддержание и эксплуатация в целях надёжного взаимодействия Федеральных органов исполнительной власти, органов исполнительной власти субъектов Российской Федерации и иных государственных органов подключенных в сеть "Интернет" через сеть RSNet в соответствии с Указом Президента от 22 мая 2025 года № 260 "О некоторых вопросах информационной безопасности".</t>
  </si>
  <si>
    <t>Запущен пилотный проект для самозанятых граждан в 4 субъектах Российской Федерации на базе мобильного приложения в целях отработки ключевых параметров</t>
  </si>
  <si>
    <t>Проведена апробация специального налогового режима для самозанятых граждан в 4 пилотных субъектах Российской Федерации (г. Москва, Московская область, Калужская область, Республика Татарстан) на базе мобильного приложения в целях отработки ключевых параметров специального налогового режима, включая:- передачу информации о продажах в налоговые органы в автоматическом режиме, освобождение от обязанности предоставлять отчетность;- уплату единого платежа с выручки, включающего в себя взнос в фонд обязательного медицинского страхования;- возможность формирования налогового капитала на развитие для оплаты им части сумм исчисленного налога.</t>
  </si>
  <si>
    <t>2.1</t>
  </si>
  <si>
    <t>В целях совершенствования специального налогового режима для самозанятых граждан проведен анализ практики реализации пилотного проекта</t>
  </si>
  <si>
    <t>По итогам апробации специального налогового режима для самозанятых граждан в пилотных регионах подготовлены предложения по совершенствованию специального налогового режима и по определению в законодательстве Российской Федерации правового статуса самозанятых граждан</t>
  </si>
  <si>
    <t>2.2</t>
  </si>
  <si>
    <t>Создана система контроля предоставления услуг связи для социально значимых объектов</t>
  </si>
  <si>
    <t>Обеспечен контроль предоставления услуг связи для социально значимых объектов.</t>
  </si>
  <si>
    <t>Законодательно закреплено введение специального налогового режима для самозанятых граждан на всей территории Российской Федерации на основе анализа практики реализации пилотного проекта для самозанятых</t>
  </si>
  <si>
    <t>Внесены изменения в Налоговый кодекс Российской Федерации, предусматривающие право применения нового налогового режима для самозанятых граждан на всей территории Российской Федерации.</t>
  </si>
  <si>
    <t>2.3</t>
  </si>
  <si>
    <t>Создание прикладного программного обеспечение и централизованная ИТ-инфраструктура по внедрению подсистемы, обеспечивающей налогообложение доходов самозанятых граждан</t>
  </si>
  <si>
    <t>Введена в постоянную эксплуатацию информационная система, обеспечивающая налогообложение самозанятых граждан и постановку на учет в автоматическом режиме.</t>
  </si>
  <si>
    <t>2.4</t>
  </si>
  <si>
    <t>Обеспечено создание специального продукта, предусматривающего оказание кредитной и гарантийной поддержки самозанятым гражданам</t>
  </si>
  <si>
    <t>Самозанятым гражданам, зафиксировавшим свой статус в соответствии с законодательством Российской Федерации, предоставлена возможность получения кредитно-гарантийной поддержки на цели развития своей деятельности.</t>
  </si>
  <si>
    <t>2.5</t>
  </si>
  <si>
    <t>Медицинские организации государственной и муниципальной систем здравоохранения подключены к сети «Интернет» в рамках заключенных государственных контрактов</t>
  </si>
  <si>
    <t>Заключены
 государственные контракты на подключение организаций государственной и
 муниципальной систем здравоохранения к сети «Интернет»</t>
  </si>
  <si>
    <t>Количество самозанятых граждан, зафиксировавших свой статус с учетом введения специального налогового режима для самозанятых, достигло 2 400,0 тыс. человек в 2019 г. - 2024 г. гг.</t>
  </si>
  <si>
    <t>Для самозанятых граждан, прошедших регистрацию в установленном порядке, обеспечена возможность на базе мобильного приложения : - осуществлять передачу информации о продажах в налоговые органы в автоматическом режиме, освобождение от обязанности предоставлять отчетность; - уплачивать единый платеж с выручки, включающего в себя взнос в ФОМС; - формировать налоговый капитал на развитие для оплаты им части сумм исчисленного налога.</t>
  </si>
  <si>
    <t>2.6</t>
  </si>
  <si>
    <t>НАЧАЛО</t>
  </si>
  <si>
    <t>ФП "Расширение доступа субъектов МСП к финансовым ресурсам, в том числе к льготному финансированию"</t>
  </si>
  <si>
    <t>Оказаны услуги по подключению к сети передачи данных, обеспечивающей доступ к единой сети передачи данных и (или) к сети «Интернет», и по передаче данных при осуществлении доступа к этой сети фельдшерским и фельдшерско-акушерским пунктам, государственным (муниципальным) образовательным организациям, реализующим программы общего образования и (или) среднего профессионального образования, органам государственной власти, органам местного самоуправления, территориальным избирательным комиссиям и избирательным комиссиям субъектов Российской Федерации, пожарным частям и пожарным постам, участковым пунктам полиции, территориальным органам Росгвардии и подразделениям (органам) войск национальной гвардии, в том числе в которых проходят службу лица, имеющие специальные звания полиции</t>
  </si>
  <si>
    <t>Законодательно обеспечено за счет средств федерального бюджета предоставление субсидий АО "Корпорация "МСП" на финансовое обеспечение исполнения обязательств АО ""Корпорация "МСП" по гарантиям, предоставленным субъектам МСП в период с 2019 по 2024 гг., в целях увеличения объемов гарантийной поддержки в рамках расширения объемов кредитования субъектов МСП в рамках Национальной гарантийной системы (далее - НГС).</t>
  </si>
  <si>
    <t>В Федеральный закон от 24 июля 2007 г. № 209-ФЗ "О развитии малого и среднего предпринимательства в Российской Федерации" внесены изменения, предусматривающие предоставление субсидий АО "Корпорация "МСП" на компенсацию потерь по резервам, сформированным по выданным гарантиям субъектам МСП в целях увеличения объемов гарантийной поддержки в рамках расширения объемов кредитования субъектов МСП в рамках НГС</t>
  </si>
  <si>
    <t>строка 9 списка изменяющихся документов Приложения N 2</t>
  </si>
  <si>
    <r>
      <rPr>
        <b/>
        <sz val="10"/>
        <rFont val="Arial"/>
        <family val="2"/>
        <charset val="204"/>
      </rPr>
      <t xml:space="preserve">Механизм: упрощение доступа к льготному финансированию для субъектов МСП
</t>
    </r>
    <r>
      <rPr>
        <sz val="10"/>
        <color rgb="FF000000"/>
        <rFont val="Arial"/>
        <family val="2"/>
        <charset val="204"/>
      </rPr>
      <t xml:space="preserve">Абстрактно-логически повышение объемов кредитования МСП будет стимулировать развитие бизнеса, что будет влиять на увеличение зарплат и прочих доходов.
К 2024 году планируется увеличить государственные закупки у МСП с 3 до 5 трлн. рублей, что скажется на росте дохода отдельных МСП, что опосредованно приведет к росту рабочих мест и росту доходов населения.
Однако необходимо принимать во внимание, что выдача кредитов основана на эффективности компании. По мере роста спроса на такие кредиты, количество компаний реально получающих кредиты будет сокращаться. (По сути это корпорация МСП - это своеобразный "лояльный банк".) Таким образом, экономика будет расти и доходы в среднем будут расти, но далеко не у всех (преимущественно у самих предпринимателей с ростом бизнеса).
Механизм воздействия на снижение бедности не очевиден.
</t>
    </r>
    <r>
      <rPr>
        <b/>
        <sz val="10"/>
        <rFont val="Arial"/>
        <family val="2"/>
        <charset val="204"/>
      </rPr>
      <t>Как развитие МСП влияет на доходы и бедность?</t>
    </r>
    <r>
      <rPr>
        <sz val="10"/>
        <color rgb="FF000000"/>
        <rFont val="Arial"/>
        <family val="2"/>
        <charset val="204"/>
      </rPr>
      <t xml:space="preserve">
</t>
    </r>
    <r>
      <rPr>
        <b/>
        <sz val="10"/>
        <rFont val="Arial"/>
        <family val="2"/>
        <charset val="204"/>
      </rPr>
      <t xml:space="preserve">Работы:
</t>
    </r>
    <r>
      <rPr>
        <sz val="10"/>
        <color rgb="FF000000"/>
        <rFont val="Arial"/>
        <family val="2"/>
        <charset val="204"/>
      </rPr>
      <t xml:space="preserve">1. РАЗВИТИЕ СЕМЕЙНОГО ПРЕДПРИНИМАТЕЛЬСТВА
КАК СПОСОБ БОРЬБЫ С БЕДНОСТЬЮ (Саввина, Щанкина)
http://kontentus.ru/wp-content/uploads/2014/11/%D0%A1%D0%B0%D0%B2%D0%B8%D0%BD%D0%B0%D0%A9%D0%B0%D0%BD%D0%BA%D0%B8%D0%BD%D0%B0.pdf
2. 
</t>
    </r>
  </si>
  <si>
    <t>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t>
  </si>
  <si>
    <t>В федеральном бюджете предусмотрены бюджетные ассигнования на предоставление субсидии АО "Корпорация "МСП" финансовое обеспечение исполнения обязательств АО "Корпорация "МСП" по гарантиям, предоставленным субъектам МСП в период с 2019 по 2024 гг., в целях увеличения объемов гарантийной поддержки в рамках расширения объемов кредитования субъектов МСП в рамках НГС. 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по 2024 гг.</t>
  </si>
  <si>
    <t>17.2.I4</t>
  </si>
  <si>
    <t>Механизм: упрощение доступа к льготному финансированию для субъектов МСП</t>
  </si>
  <si>
    <t>Утверждена Концепция построения и развития узкополосных беспроводных сетей связи "Интернета вещей" на территории Российской Федерации</t>
  </si>
  <si>
    <t>Министерством цифрового развития, связи и массовых коммуникаций Российской Федерации утверждена Концепция по построению и развитию узкополосных беспроводных сетей связи «Интернета вещей» на территории Российской Федерации. В рамках Концепции предусмотрено определение перечня технологий, протоколов и стандартов, в том числе в части информационной безопасности и криптографической защиты информации, обоснование разработки национальных стандартов, технических требований, требований по обеспечению информационной безопасности с использованием отечественных криптографических алгоритмов и аппаратных средств, при необходимости выделение отдельного диапазона частот (в том числе конверсия), лицензирование деятельности и определение операторов связи либо отказа от лицензионной модели, модели применения (отраслевая, территориальная)</t>
  </si>
  <si>
    <t>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t>
  </si>
  <si>
    <t>В субъектах Российской Федерации созданы и масштабируют свою деятельность РГО, осуществляющие деятельность в рамках НГС с учетом присвоенного ранга. Разработана и законодательно закреплена система внутренних рангов для РГО. В Федеральный закон от 24 июля 2007 г. № 209-ФЗ "О развитии малого и среднего предпринимательства в Российской Федерации" внесены изменения, предусматривающие: - закрепление системы внутренних рангов Корпорации для РГО, основанной на оценке финансовой устойчивости и эффективности деятельности РГО, в том числе в целях оказания им последующей финансовой поддержки; - полномочия АО "Корпорация "МСП" по присвоению рангов РГО.</t>
  </si>
  <si>
    <t>Разработан и реализован комплекс мер по совершенствованию регулирования узкополосных беспроводных сетей связи «Интернета вещей» на территории Российской Федерации</t>
  </si>
  <si>
    <t>абазац 2 подпукнта а) части 3 Раздела I Приложения №10</t>
  </si>
  <si>
    <t>Осуществлен взнос в уставный капитал АО "Корпорация "МСП" в целях докапитализации АО "МСП Банк" в целях увеличения объемов гарантийной поддержки в рамках расширения объемов кредитования субъектов МСП в рамках НГС в размере 5 млрд. рублей в 2019 году.</t>
  </si>
  <si>
    <t>Увеличен уставный капитал АО "Корпорация "МСП" в целях докапитализации АО "МСП Банк" в целях увеличения объемов гарантийной поддержки в рамках расширения объемов кредитования субъектов МСП в рамках НГС. Платежное поручение о поступлении средств на расчетный счет АО "Корпорация "МСП".</t>
  </si>
  <si>
    <t>Увеличен объем финансовой поддержки, оказанной субъектам МСП, млрд. руб.</t>
  </si>
  <si>
    <t>Произведен расчет показателя "Консолидированный объем финансовой поддержки" в соответствии с приказом Минэкономразвития России от 19 февраля 2015 г. № 74 "Об 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 Правительством Российской Федерации издано постановление, предусматривающее утверждение программы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МСП по льготным ставкам, на цели финансирования проектов субъектов МСП в приоритетных отраслях.</t>
  </si>
  <si>
    <t>Утверждена Концепция создания и развития сетей 5G/IMT-2020 в Российской Федерации</t>
  </si>
  <si>
    <t>Правительством Российской Федерации утверждена Концепция создания и развития сетей 5G/IMT-2020 в Российской Федерации, определяющая основные характеристики сетей пятого поколения, услуги и сервисы, представляемые в сетях пятого поколения, потребности экономики в услугах и сервисах, а также требования высокого уровня по построению сетевой инфраструктуры, в том числе принципы и требования обеспечения информационной безопасности сети 5G/IMT-2020, основанные на применении российских криптографических алгоритмов и аппаратных средств. Сформированы предложения по созданию единого инфраструктурного оператора сети 5G/IMT-2020, а также подходы к созданию и использованию сети радиосвязи операторами с использованием лицензируемого и нелицензируемого диапазонов частот, включая диапазоны радиочастот в полосах: 694-790 МГц, 3,4-3,8 ГГц, 4,4-4,99 ГГц, 5,9 ГГц, 24,25-29,5 ГГц, 30-55ГГц, 66-76ГГц, 81-86 ГГц с учетом международных тенденций развития телекоммуникационного рынка.</t>
  </si>
  <si>
    <t>Определены диапазоны радиочастот для создания сетей радиосвязи 5G в Российской Федерации</t>
  </si>
  <si>
    <t>Совместно с высшими должностными лицами субъектов Российской Федерации, входящих в Дальневосточный федеральный округ, осуществлен на ежегодной основе отбор, подготовка и сопровождение проектов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</si>
  <si>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Сформирован и утвержден перечень проектов, реализуемых субъектами МСП в Дальневосточном федеральном округе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</si>
  <si>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пукнты 13-15 Приложения N 11</t>
  </si>
  <si>
    <t>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Дальневосточного федерального округа на реализацию проектов в приоритетных отраслях по льготной ставке, в размере 420,8 млрд. рублей в 2019 - 2024 годах, в том числе:</t>
  </si>
  <si>
    <t>Утвержден план реализации Концепции построения и развития узкополосных беспроводных сетей связи «Интернета вещей» на территории Российской Федерации</t>
  </si>
  <si>
    <t>Произведен расчет показателя "Консолидированный объем финансовой поддержки" в рамках приоритета деятельности НГС - субъектов МСП Дальневосточного федерального округа в соответствии с приказом Минэкономразвития России от 19 февраля 2015 г. № 74 " Об 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t>
  </si>
  <si>
    <t>Совместно с высшими должностными лицами субъектов Российской Федерации, входящих в Северо-Кавказский федеральный округ, осуществлен на ежегодной основе отбор, подготовка и сопровождение проектов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</si>
  <si>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Сформирован и утвержден перечень проектов, реализуемых субъектами МСП в Северо- Кавказском федеральном округе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</si>
  <si>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пукнты 16-18 Приложения N 11</t>
  </si>
  <si>
    <t>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Северо-Кавказского федерального округа на реализацию проектов в приоритетных отраслях по льготной ставке, в размере 56,4 млрд. рублей в 2019 г.-2024 годах., в том числе:</t>
  </si>
  <si>
    <t>Произведен расчет показателя "Консолидированный объем финансовой поддержки" в рамках приоритета деятельности НГС - субъектов МСП Северо- Кавказского федерального округа в соответствии с приказом Минэкономразвития России от 19 февраля 2015 г. № 74 " Об 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t>
  </si>
  <si>
    <t>пукнты 16-18 Приложения N 12</t>
  </si>
  <si>
    <t>​В результате проведения НИР определены наиболее
 перспективные полосы радиочастот для запуска сетей 5G/IMT-2020 на территории
 Российской Федерации и разработаны предложения по перспективному использованию
 лицензируемого и нелицензируемого диапазонов частот, в том числе включающие
 определение порядка реализации и источников финансирования мероприятий по
 проведению конверсии в полосах радиочастот</t>
  </si>
  <si>
    <t>Утвержден механизм распределения объемов льготного кредитования, включая механизм квотирования, среди субъектов Российской Федерации в рамках программы предоставления субсидий кредитным организациям на возмещение недополученных ими доходов по кредитам, выданным субъектам МСП на реализацию проектов в приоритетных отраслях по льготной ставке с целью обеспечения равного доступа субъектов МСП к льготному кредитованию на всей территории Российской Федерации</t>
  </si>
  <si>
    <t>Правительством Российской Федерации принято постановление Правительства Российской Федерации, предусматривающее реализацию механизма распределения объемов льготного кредитования, включая механизм квотирования, среди субъектов Российской Федерации в рамках программы предоставления субсидий кредитным организациям на возмещение недополученных ими доходов по кредитам, выданным субъектам МСП на реализацию проектов в приоритетных отраслях по льготной ставке с целью обеспечения равного доступа субъектов МСП к льготному кредитованию на всей территории Российской Федерации</t>
  </si>
  <si>
    <t>1.10</t>
  </si>
  <si>
    <t>пункт 24 Приложения N 11</t>
  </si>
  <si>
    <t>Обеспечена докапитализация региональных лизинговых компаний, созданных с участием АО "Корпорация "МСП"</t>
  </si>
  <si>
    <t>Получены платежные поручения о поступлении средств на счета региональных лизинговых компаний, созданных с участием АО "Корпорация "МСП".</t>
  </si>
  <si>
    <t>1.11</t>
  </si>
  <si>
    <t>Разработан и утвержден план по высвобождению радиочастотного спектра, определению источников финансирования мероприятий по проведению конверсии, снятию ограничений на использование радиочастотного спектра в целях развертывания сетей связи 5G/IMT-2020 и его поэтапная реализация с целью внедрения сетей 5G на территории городов Российской Федерации с численностью населения более 1 млн человек</t>
  </si>
  <si>
    <t>09.2019 - проведены научно-исследовательские работы по определению наиболее перспективных полос радиочастот для запуска сетей 5G/IMT-2020 на территории Российской Федерации и разработаны предложения по перспективному использованию лицензируемого и нелицензируемого диапазонов частот и подготовлен отчет о результатах12.2020 -Президентом Российской Федерации утверждён план
 по высвобождению радиочастот в интересах внедрения технологии 5G/IMT-2020 в
 Российской Федерации, проведена оценка необходимых средств федерального
 бюджета, сформированы предложения по источникам средств и графику их
 расходования, в том числе с учетом принципов информационной безопасности
 создаваемой сети12.2021 - сети 5G внедрены на территории 10 городов Российской Федерации с численностью населения более 1 млн человек</t>
  </si>
  <si>
    <t>Предоставлена субсидия бюджету Республики Крым на создание региональной лизинговой компании в Республике Крым (в случае выделения в 2019 году бюджетных ассигнований из федерального бюджета на предоставление субсидии бюджету Республики Крым для целей создания межрегионального лизинговой компании в Республики Крым)</t>
  </si>
  <si>
    <t>В 2019 году выделены бюджетные ассигнования из федерального бюджета на предоставление субсидии бюджету Республики Крым для целей создания межрегиональной лизинговой компании в Республике Крым</t>
  </si>
  <si>
    <t>1.12</t>
  </si>
  <si>
    <t>Обеспечен объем льготной лизинговой поддержки (сумма лизингового финансирования) субъектов МСП, оказанной региональными лизинговыми компаниями, созданными с участием АО "Корпорация "МСП", в 2019-2024 гг. (нарастающим итогом с 2017 г.), в том числе:
 - в 2019 году 6,41 млрд. рублей;
 - в 2020 году 9,95 млрд. рублей;
 - в 2021 году 14,47 млрд. рублей;
 - в 2022 году 18,91 млрд. рублей;
 - в 2023 году 24,17 млрд. рублей;
 - в 2024 году 29,79 млрд. рублей</t>
  </si>
  <si>
    <t>Произведен расчет показателя "Объем льготной лизинговой поддержки (сумма лизингового финансирования) субъектов МСП, оказанной региональными лизинговыми компаниями, созданными с участием АО "Корпорация "МСП". Объем льготной лизинговой поддержки (сумма лизингового финансирования) субъектов МСП, оказанной региональными лизинговыми компаниями (РЛК), созданными с участием АО "Корпорация "МСП", в 2019-2024 гг. рассчитывается нарастающим итогом с 2017 года. Объем указанной льготной лизинговой поддержки в 2017-2018 гг. составил 3,3 млрд рублей. Достижение данного результата возможно в случае предоставления в 2020-2024 гг. бюджетных ассигнований из федерального бюджета (в размере не менее 7,030 млрд рублей) и бюджета субъектов Российской Федерации, в которых учреждены с участием АО "Корпорация "МСП" РЛК (в размере не менее 2,343 млрд рублей), на финансирование деятельности действующих и (или) вновь созданных РЛК, учрежденных с участием АО "Корпорация "МСП".</t>
  </si>
  <si>
    <t>1.13</t>
  </si>
  <si>
    <t>Определен механизм оказания государственной поддержки субъектам МСП в части их кредитования под залог прав на интеллектуальную собственность за счет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t>
  </si>
  <si>
    <t>Федеральной службой по интеллектуальной собственности, Минэкономразвития России организовано взаимодействие с Банком России и коммерческими банками на тему определения комплекса мероприятий по устранению ограничений регуляторного характера для принятия интеллектуальной собственности в качестве обеспечения по кредитам субъектам МСП и механизмам предоставления таких кредитов. Определен совместно с АО "Корпорация "МСП" механизм оказания государственной поддержки субъектам МСП в части их кредитования под залог прав на интеллектуальную собственность за счет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Начало оказания соответствующей государственной поддержки.</t>
  </si>
  <si>
    <t>1.14</t>
  </si>
  <si>
    <t>Объем кредитования субъектов МСП под залог прав на объекты интеллектуальной собственности, млрд. рублей</t>
  </si>
  <si>
    <t>Субъектам МСП предоставлены кредиты под залог прав на интеллектуальную собственность. Произведен расчет показателя "Объем кредитования субъектов МСП под залог прав на интеллектуальную собственность".</t>
  </si>
  <si>
    <t>1.15</t>
  </si>
  <si>
    <t>Обеспечено льготное кредитование АО "МСП Банк" предпринимателей каждой приоритетной группы (молодежь, женщины, инвалиды, предприниматели старше 45 лет и другие), а также микрофинансовых организаций с государственным участием для кредитования предпринимателей каждой приоритетной группы (женщины, предприниматели старше 45 лет), в том числе утверждены льготные кредитные продукты АО "МСП Банк"</t>
  </si>
  <si>
    <t>Утверждены нормативные документы АО "МСП Банк", обеспечивающие внедрение механизмов предоставления кредитов на льготных условиях для предпринимателей каждой приоритетной группы (молодежь, женщины, инвалиды, предприниматели старше 45 лет и другие), а также микрофинансовых организаций с государственным участием для кредитования предпринимателей каждой приоритетной группы (женщины, предприниматели старше 45 лет), в том числе утверждены АО "МСП Банк" условия кредитных продуктов для указанных приоритетных групп предпринимателей</t>
  </si>
  <si>
    <t>1.16</t>
  </si>
  <si>
    <t>Выполнены условия для создания сетей связи 5G в Российской Федерации на территории не менее 10 городов с населением более 1 млн. человек</t>
  </si>
  <si>
    <t>Обеспечение реализации федерального проекта (результата федерального проекта)</t>
  </si>
  <si>
    <t>Разработан и реализован специальный кредитный продукт (промышленная ипотека) для резидентов промышленных площадок в целях создания (строительства, реконструкции) производственных помещений</t>
  </si>
  <si>
    <t>Реализован специальный кредитный продукт (промышленная ипотека) для резидентов промышленных площадок в целях создания (строительства, реконструкции) производственных помещений. Правительством Российской Федерации принято постановле ние Правительства Российской Федерации, предусматривающее реализацию специального кредитного продукта (промышленная ипотека) для резидентов промышленных площадок в целях создания (строительства, реконструкции) производственных помещений</t>
  </si>
  <si>
    <t>1.17</t>
  </si>
  <si>
    <t>Реализованы на ежегодной основе рыночные механизмы рефинансирования портфелей кредитов МСП коммерческих банков с использованием секьюритизации (привлечение кредитными организациями заемных средств через размещение и обслуживание облигаций с залоговым обеспечением в виде портфелей кредитов МСП)</t>
  </si>
  <si>
    <t>Реализованы механизмы рефинансирования портфелей кредитов МСП коммерческих банков с использованием секьюритизации. Реализованы сделки секьюритизации кредитов МСП, отработаны вопросы законодательного и регулятивного регулирования секьюритизации МСП кредитов. Функционирует платформа для реализации сделок секьюритизации портфелей нескольких банков.</t>
  </si>
  <si>
    <t>1.18</t>
  </si>
  <si>
    <t>Обеспечено администрирование льготных кредитов, выданных субъектам МСП в 2017 году в рамках реализации постановления Правительства Российской Федерации от 3 июня 2017 г. № 674"Об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в 2017 году субъектам малого и среднего предпринимательства по льготной ставке"</t>
  </si>
  <si>
    <t>Администрирование льготных кредитов, выданных субъектам МСП в 2017 году в рамках реализации постановления Правительства Российской Федерации от 3 июня 2017 г. № 674"Об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в 2017 году субъектам малого и среднего предпринимательства по льготной ставке" в период 2019-2024 года</t>
  </si>
  <si>
    <t>1.19</t>
  </si>
  <si>
    <t>Обеспечено администрирование льготных кредитов, выданных субъектам МСП в 2018 году в рамках реализации постановления Правительства Российской Федерации от 30 декабря 2017 г. № 1706 "Об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t>
  </si>
  <si>
    <t>Администрирование льготных кредитов, выданных субъектам МСП в 2018 году в рамках реализации постановления Правительства Российской Федерации от 30 декабря 2017 г. № 1706 "Об утверждении Правил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 в период с 2019 - 2024 годы</t>
  </si>
  <si>
    <t>Создана сеть беспроводной связи для социально значимых объектов в малочисленных населенных пунктах, оказаны услуги по подключению к этой сети, и по передаче данных при осуществлении доступа к этой сети</t>
  </si>
  <si>
    <t>Обеспечено оказание услуг связи социально значимым объектам. Обеспечено подключение объектов ФГУП "Российская телевизионная и радиовещательная сеть" к сети связиобщего пользования.</t>
  </si>
  <si>
    <t>1.20</t>
  </si>
  <si>
    <t>Разработаны и утверждены механизмы доступа субъектов МСП к фондовому рынку, в том числе:
 гарантийная поддержка институтов развития в части выхода предприятий на фондовый рынок;
 специальные биржевые тарифы для эмитентов - субъектов МСП;
 участие институтов развития в качестве "якорных" инвесторов в выпусках ценных бумаг субъектов МСП;
 стимулирование выхода компаний малой и средней капитализации на фондовый рынок, в том числе посредством предоставления им государственной поддержки</t>
  </si>
  <si>
    <t>Внедрены инструменты фондового рынка для массового использования субъектами МСП в результате чего повышена финансовая доступность для субъектов МСП, обеспечен доступ субъектов МСП к альтернативным источникам финансирования, созданы предпосылки для роста доли малых и средних предприятий в экономике.</t>
  </si>
  <si>
    <t>Разработаны и утверждены механизмы доступа субъектов МСП к фондовому рынку, в том числе развитие финансирования субъектов МСП с помощью краудинвестинговой платформы</t>
  </si>
  <si>
    <t>Повышена информированность инвесторов о биржевом сегменте МСП - "Секторе Роста", обеспечена возможность принятия инвесторами квалифицированных решений о размещении средств в данный биржевой сегмент</t>
  </si>
  <si>
    <t>Разработаны и утверждены механизмы доступа субъектов МСП к фондовому рынку, в том числе стимулирование выхода компаний малой и средней капитализации на фондовый рынок, в том числе посредством предоставления им государственной поддержки (субсидирование расходов на подготовку к листингу)</t>
  </si>
  <si>
    <t>Разработан проект постановления Правительства Российской Федерации, утверждающий предоставление субсидий из федерального бюджета российским организациям - субъектам малого и среднего предпринимательства на возмещение расходов, связанных с выходом на финансовый рынок</t>
  </si>
  <si>
    <t>Утверждена дорожная карта реализации мер стимулирования инвестиционной активности операторов для развития сетей связи на основе передовых технологий</t>
  </si>
  <si>
    <t>​"Дорожная карта", содержащая в том числе
 меры по изменению порядка оплаты за использование радиочастотного спектра, по
 совместному использованию пассивной и активной телекоммуникационной
 инфраструктуры, по обеспечению доступа операторов связи к инфраструктуре
 многоквартирных домов, - одобрена президиумом Правительственной комиссии по
 цифровому развитию, использованию информационных технологий для улучшения качества
 жизни и условий ведения предпринимательской деятельности</t>
  </si>
  <si>
    <t>Осуществлено методологическое сопровождение создания информационно-аналитической инфраструктуры "Сектора Роста" на ПАО Московская Биржа</t>
  </si>
  <si>
    <t>Повышена информированность инвесторов о биржевом сегменте МСП - "Секторе Роста"</t>
  </si>
  <si>
    <t>Разработан и утвержден механизм субсидирования авансового платежа за счет средств федерального бюджета по лизинговым сделкам субъектов МСП</t>
  </si>
  <si>
    <t>Правительством Российской Федерации принято постановление Правительства Российской Федерации, предусматривающее реализацию механизма субсидирования авансового платежа за счет средств федерального бюджета по лизинговым сделкам субъектов МСП</t>
  </si>
  <si>
    <t>3.1</t>
  </si>
  <si>
    <t>Создана и утверждена Генеральная схема развития сетей связи и инфраструктуры хранения и обработки данных Российской Федерации на период 2019-2024 годов, ежегодная актуализация, развитие и эксплуатация</t>
  </si>
  <si>
    <t>Создание, актуализация, развитие и эксплуатацияГенеральной схемы развития сетей связи и инфраструктуры хранения и обработки данных</t>
  </si>
  <si>
    <t>Объем лизинговых сделок субъектов МСП с государственной поддержкой, млрд. рублей</t>
  </si>
  <si>
    <t>Созданы предпосылки для увеличения доли и объемов лизинга в финансировании МСП, в том числе за счет увеличения объема лизингового финансирования за счет сусбидирования авансового платежа по договорам лизинга.</t>
  </si>
  <si>
    <t>3.2</t>
  </si>
  <si>
    <t>Разработана концепция развития государственных микрофинансовых организаций, включающая разработку рекомендаций по методике оценки заемщиков, анализ и установление возможных ставок государственных МФО, разработку типовых договоров, единой учетной политики, ведение бухгалтерского учета, разработку единых стандартов секьюритизации, взыскание долгов, реализация залога, защита прав и интересов в суде.</t>
  </si>
  <si>
    <t>Утверждена концепция развития государственных микрофинансовых организаций</t>
  </si>
  <si>
    <t>4.1</t>
  </si>
  <si>
    <t>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субсидирование ставки вознаграждения по микрозаймам субъектов МСП, в размере 21,433 млрд. рублей, в том числе:</t>
  </si>
  <si>
    <t>Повышена доступность к заемным средствам для микропредприятий и представителей малого бизнеса, которые не могут воспользоваться традиционными банковскими продуктами (небольшая сумма кредита, отсутствие кредитной истории, удалённость населенного пункта и т.д.). Органам государственной власти субъектов Российской Федерации предоставлены субсидии из федерального бюджета на исполнение расходных обязательств, предусматривающих создание и (или) развитие государственных МФО, а также субсидии МФО на субсидирование ставки вознаграждения по микрозаймам субъектов МСП.</t>
  </si>
  <si>
    <t>4.2</t>
  </si>
  <si>
    <t>абзац третий подпункта "а" части 3 Раздела I Приложения N 10</t>
  </si>
  <si>
    <t>Государственными микрофинансовыми организациями обеспечен доступ субъектов МСП к заемным средствам и увеличен объем выдаваемых микрозаймов до 20 млрд. рублей ежегодно в количестве не менее 20700 единиц</t>
  </si>
  <si>
    <t>Проведение ежегодного мониторинга деятельности МФО</t>
  </si>
  <si>
    <t>Разработан и утвержден план-график покрытия приоритетных объектов транспортной инфраструктуры для внедрения сетей узкополосной связи сбора телеметрической информации, построенной по технологии LPWAN</t>
  </si>
  <si>
    <t>Распоряжение Минтранса России по вопросу разработки и утверждения план-графика покрытия приоритетных объектов транспортной инфраструктуры для внедрения сетей узкополосной связи сбора телеметрической информации, построенной по технологии LPWAN</t>
  </si>
  <si>
    <t>4.3</t>
  </si>
  <si>
    <t>Нормативно закреплена минимальная доля в размере 10% займов, не обеспеченных залогом, в структуре портфеля микрозаймов государственных МФО</t>
  </si>
  <si>
    <t>Приказ Министерства экономического развития Российской Федерации, предусматривающий закрепление минимальной доли в размере 10% займов, не обеспеченных залогом, в структуре портфеля микрозаймов государственных МФО</t>
  </si>
  <si>
    <t>4.4</t>
  </si>
  <si>
    <t>Внедрены для массового использования биржевые инструменты лизингодателей для финансирования субъектов МСП, разработаны меры государственной поддержки таких инструментов, в том числе в 2023 году:
 - разработан механизм субсидирования части расходов на размещение лизинговых облигаций (затраты на аудит, рейтинговое агентство, консультанта, организатора), выпущенных под портфель МСП
 - проведена сделка по секьюритизации лизингового портфеля субъектов МСП</t>
  </si>
  <si>
    <t>Разработка механизма субсидирования части расходов на размещение лизинговых облигаций (затраты на аудит, рейтинговое агентство, консультанта, организатора), выпущенных под портфель МСП, а также осуществление сделки по секьюритизации лизингового портфеля субъектов МСП</t>
  </si>
  <si>
    <t>п.8, план мероприятий</t>
  </si>
  <si>
    <t>Определен план-график покрытия подвижной радиотелефонной связью автомобильных дорог федерального значения (с обеспечением вызова экстренных служб)</t>
  </si>
  <si>
    <t>Радиочастотной службой проведены необходимые работы по определению участков автомобильных дорог федерального значения не покрытых подвижной радиотелефонной связью. Определен план-график покрытия подвижной радиотелефонной связью вышеуказанных участков автомобильных дорог федерального значения.</t>
  </si>
  <si>
    <t>Оптимизирована деятельность государственных МФО</t>
  </si>
  <si>
    <t>Утверждены правила предоставления
микрозаймов, внесены изменения в требования к
деятельности государственных МФО</t>
  </si>
  <si>
    <t>п.10, план мероприятий</t>
  </si>
  <si>
    <t>КОНЕЦ</t>
  </si>
  <si>
    <t>Федеральный проект 3</t>
  </si>
  <si>
    <t>Утверждена Концепция и технические требования покрытия транспортной инфраструктуры сетями связи для систем передачи данных, включая координатно-временную информацию ГЛОНАСС, дифференциальных поправок, автоматического зависимого наблюдения и многопозиционных систем наблюдения, в том числе предложения по источникам финансирования</t>
  </si>
  <si>
    <t>Минтрансом
 России утверждены концепция и технические требования покрытия транспортной
 инфраструктуры сетями связи для систем передачи данных, включая координатно-временную
 информацию ГЛОНАСС, дифференциальных поправок, автоматического зависимого
 наблюдения и многопозиционных систем наблюдения, в том числе предложения по
 источникам финансирования</t>
  </si>
  <si>
    <t>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 производственным площадям и помещениям в рамках промышленных парков, технопарков, млрд рублей</t>
  </si>
  <si>
    <t>Проведена инвентаризация уже созданных объектов инфраструктуры для субъектов МСП, их заполненности, специализации, возможности расширения территории, территориальный охват. На основании данных анализа и с учетом мнения производственного бизнеса региона принято решение о строительстве новой производственной площадки (парка или технопарка) или о расширении уже существующей. К 2024 году в субъектах Российской Федерации создано не менее 129 промышленных парков и технопарков. Общий объем инвестиций в основной капитал субъектов МСП - резидентов промышленных площадок составит 109,8 млрд. рублей к 2024 году</t>
  </si>
  <si>
    <t>I5</t>
  </si>
  <si>
    <t>0</t>
  </si>
  <si>
    <t>18.2.I5</t>
  </si>
  <si>
    <t>Обеспечение благоприятных условий для МСП в виде различных льгот должно снизить издержки субъектов МСП и увеличить количество субъектов МСП, что в свою очередь приведет к социально-экономическому развитию субъектов РФ</t>
  </si>
  <si>
    <t xml:space="preserve">29 797,55 </t>
  </si>
  <si>
    <t>Нормативно закреплены технические и организационные требования к деятельности центров "Мой бизнес", а также перечень и регламент оказываемых услуг субъектам МСП</t>
  </si>
  <si>
    <t>Разработан и утвержден комплект документов, устанавливающих единые требования для организации деятельности центров "Мой Бизнес", в том числе к единому фирменному стилю, в части организации пространства, регламенты предоставления услуг, единой автоматизированной системы, единого портала поддержки предпринимательства в субъектах Российской Федерации</t>
  </si>
  <si>
    <t>-</t>
  </si>
  <si>
    <t>Корректная формулировка требований к деятельности центров "Мой бизнес" должна повысить эффективность взаимодействия с субъектами МСП.</t>
  </si>
  <si>
    <t>Организовано оказание комплекса услуг, сервисов и мер поддержки субъектам МСП в Центрах "Мой бизнес", в том числе финансовых (кредитных, гарантийных, лизинговых) услуг, консультационной и образовательной поддержки, поддержки по созданию и модернизации производств, социального предпринимательства и в таких сферах, как благоустройство городской среды и сельской местности, экология, женское предпринимательство, а также услуг АО "Корпорация "МСП" и АО "Российский экспортный центр", не менее чем в 100 Центрах "Мой бизнес", в том числе по годам (нарастающим итогом):
 2019 г. - 20 Центров "Мой бизнес";
 2020 г. - 40 Центров "Мой бизнес";
 2021 г. - 80 Центров "Мой бизнес";
 2022 г. - 100 Центров "Мой бизнес";
 2023 г. - 100 Центров "Мой бизнес";
 2024 г. - 100 Центров "Мой бизнес".
 К 2024 году доля субъектов МСП, охваченных услугами Центров "Мой бизнес" составит 10%</t>
  </si>
  <si>
    <t>К 2024 году функционируют в субъектах Российской Федерации не менее 100 центров "Мой Бизнес", оказывающие комплекс услуг, сервисов и мер поддержки субъектам МСП Реализованы специальные меры поддержки субъектов МСП, реализующих проекты в сфере благоустройства городской среды, научно-технологической сфере, социальной сфере и экологии для не менее, чем 68 470 участников</t>
  </si>
  <si>
    <t>Приоритетные объекты транспортной инфраструктуры (включая железнодорожную и автодорожную инфраструктуру) покрыты сетями связи с широкополосной беспроводной возможностью передачи данных и голоса, необходимой для развития современных интеллектуальных логистических, транспортных технологий и сетями узкополосной связи сбора телеметрической информации, построенной по технологии LPWAN</t>
  </si>
  <si>
    <t>Сетями связи с возможностью беспроводной передачи данных покрыты приоритетные объекты транспортной инфраструктуры:- Московские центральные диаметры (МЦД-I "Одинцово-Лобня", МЦД-II "Нахабино-Подольск");- внеклассная сортировочная станция Бекасово-Сортировочное (Московской железной дороги);- внеклассная сортировочная станция Орехово-Зуево (Московской железной дороги);- автодорога А-181 "Скандинавия" Санкт-Петербург– Выборг – граница с Финляндской РеспубликойCети сбора телеметрической информации на приоритетных объектах транспортной инфраструктуры развернуты в соответствии с утвержденной дорожной картой (планом-графиком).</t>
  </si>
  <si>
    <t>Доступ субъектов МСП к услугам Центров повысит эффективность и скорость работы МСП, повышая вероятность развития субъектов МСП, таким образом содействуя экономическому развитию регионов</t>
  </si>
  <si>
    <t xml:space="preserve">23 877,89 
</t>
  </si>
  <si>
    <t>Разработаны образовательные программы и обеспечено обучение региональных (муниципальных) команд, организаций инфраструктуры поддержки МСП. Количество команд, прошедших обучение за период 2019 - 2024 гг. составит 955 единиц, в том числе: 85 региональных команд, 170 муниципальных команд, 700 команд организаций инфраструктуры поддержки МСП. Количество человек, прошедших обучение к 2024 году составит 5,5 тыс. человек, в том числе по годам:
 2019 г. - 179 команд (количество человек, прошедших обучение - 2 000 ед.);
 2020 г. - 323 команды (количество человек, прошедших обучение и повысивших квалификацию - 3 360 ед.);
 2021 г. - 323 команды (количество человек, прошедших обучение и повысивших квалификацию - 4 950 ед.);
 2022 г. - 130 команд (количество человек, прошедших обучение и повысивших квалификацию - 5 500 ед.);
 2023 г. - 700 команд повысят квалификацию (количество человек, повысивших квалификацию 5500);
 2024 г. - 700 команд повысят квалификацию (количество человек, повысивших квалификацию 5500)</t>
  </si>
  <si>
    <t>Разработаны программы обучения, повышения квалификации региональных (муниципальных) команд, сотрудников организаций инфраструктуры поддержки субъектов МСП в целях повышения качества предоставляемых субъектам малого и среднего предпринимательств государстве</t>
  </si>
  <si>
    <t>Повышение квалификации сотрудников Центров поддержки СМП позволит повысить эффективность оказания консультационных услуг в субъектах РФ</t>
  </si>
  <si>
    <t>1 700,00</t>
  </si>
  <si>
    <t>Оказана поддержка ежегодно не менее 100 инновационным, высокотехнологичным субъектам МСП, в том числе стартап-предприятиям и "газелям"</t>
  </si>
  <si>
    <t>АО Корпорация МСП, а также институтами развития в сфере инноваций оказана не менее 100 субъектам МСП высокотехнологичных секторов экономики, в том числе внедряющим инновации, осуществляющим проекты в сфере импортозамещения и (или) производящим экспортную продукцию и услуги, поддержка, включая: - финансовую поддержку; - взаимодействие с крупнейшими заказчиками, а также заказчиками с иностранным участием в целях расширения доступа к закупкам; - проведение мероприятий по развитию ("доращиванию") в целях потенциального участия инновационных, высокотехнологичных субъектов МСП в закупках; - информационно-маркетинговую поддержку с использованием сервисов Портала Бизнеснавигатора МСП; - имущественную, консультационную, правовую и иную поддержку, предусмотренную законодательством Российской Федерации, в том числе доступ к программам льготного лизинга, реализуемым региональными лизинговыми компаниями, созданными с участием АО "Корпорация "МСП</t>
  </si>
  <si>
    <t>Поддержка субъектов МСП должна содействовать активному росту выручки, эффективности деятельности и снижению издержек субъектов МСП, что в свою очередь содействует социально-экономическому развитию регионов</t>
  </si>
  <si>
    <t>Обеспечение покрытия радиотелефонной связью автомобильных дорог федерального значения (с обеспечением вызова экстренных служб) в соответствии с планом-графиком</t>
  </si>
  <si>
    <t>Проведены необходимые работы по
 обеспечению подвижной радиотелефонной связью участков автомобильных дорог
 федерального значения, непокрытые подвижной радиотелефонной связью, в соответствии
 с планом-графиком на текущий год.</t>
  </si>
  <si>
    <t>Разработана программа поддержки субъектов МСП в моногородах.
 Количество получивших поддержку субъектов МСП в моногородах, ед.</t>
  </si>
  <si>
    <t>Предоставлены субсидии бюджетам субъектов Российской Федерации на реализацию мероприятий по поддержке субъектов МСП, осуществляющих деятельность на территории моногородов. К 2024 году в рамках программы поддержки МСП в моногородах поддержка оказана 3614 субъектам МСП, осуществляющим деятельность на территории моногородов</t>
  </si>
  <si>
    <t xml:space="preserve">10 811,89 
</t>
  </si>
  <si>
    <t>Разработана и реализована программа "Расширение использования франшиз в секторе МСП" (сопровождение при "упаковке" бизнес-идеи во франшизу), в частности, разработано не менее 20 новых франшиз в регионах ежегодно</t>
  </si>
  <si>
    <t>В 85 субъектах Российской Федерации реализована программа "Расширение использования франшиз в секторе МСП", в том числе: - предоставление льготных микрозаймов на покупку франшизы; - повышение информированности экономически активного населения о модели франчайзинга, доступном ассортименте предложений и путях развития франчайзингового бизнеса; - передача технологий франчайзинга в компании, заинтересованные в создании и развитии собственных франшиз; - консультации и создание франчайзинговых пакетов для региональных предпринимателей на основе их успешно работающего бизнеса; - поиск местных брендов, которые могут стать франчайзерами и подготовка каталога успешных франшиз для предпринимателей; оперативное консультирование бизнеса по вопросам развития франшизы; - обучение франчайзи, помощь с установлением деловых связей. К 2024 году создано не менее 120 региональных франшиз</t>
  </si>
  <si>
    <t>Разработка франшиз может помочь субъектам МСП выйти на рынок с меньшими издержками за счёт уже существующей рекламной и клиентской базы, а также позволяет получать доступ к процессам, принятым в компании-хозяйке франшизы, что снижает фиксированные издержки. Это должно способствовать социально-экономическому росту регионов.</t>
  </si>
  <si>
    <t>Фондом содействия инновациям предоставлены гранты за счет субсидий из федерального бюджета субъектам МСП на осуществление научно исследовательских и опытно-конструкторских работ, а также на производство инновационной продукции, млрд. рублей:
 в 2019 г. - 4,5
 в 2020 г. - 3,5
 в 2021 г. - 0,3
 в 2022 г. - 9,0
 в 2023 г. - 8,5
 в 2024 г. - 4,7
 Количество получивших поддержку субъектов МСП, осуществляющих деятельность в инновационных сферах, ед.</t>
  </si>
  <si>
    <t>Федеральным государственным бюджетным учреждением "Фонд содействия развитию малых форм предприятий в научно- технической сфере" предоставлены гранты малым инновационным компаниям с обязательным созданием и (или) расширением производства инновационной продукции и ее последующей коммерциализацией. К 2024 году будет поддержано не менее 1276 субъектов малого инновационного предпринимательства</t>
  </si>
  <si>
    <t xml:space="preserve">Развитие инновационных технологий и повышение участия в нем частного сектора способствует увеличению человеческого капитала и повышению ТФП на региональном или страновом уровне, что должно способствовать социально-экономическому росту регионов.
</t>
  </si>
  <si>
    <t>30 825,66</t>
  </si>
  <si>
    <t>Созданы национальный стандарт классификации ЦОД и система сертификации, определены требования, предъявляемые к уровню качества предоставляемых сервисов (SLA) и к инфраструктуре ЦОД, используемых для государственных информационных систем и информационных ресурсов органов государственной власти, государственных внебюджетных фондов и местного самоуправления</t>
  </si>
  <si>
    <t>Акт Правительства Российской Федерации, определяющий необходимость использования федеральными органами исполнительной власти и подведомственными им учреждениями услуг ЦОД, сертифицированных на соответствие требованиям, предъявляемым к уровню качества предоставляемых сервисов (SLA) ЦОД и требованиям к инфраструктуре ЦОД, а также аттестованных по требованиям информационной безопасности</t>
  </si>
  <si>
    <t>Оцифрованы и размещены на едином государственном ресурсе все услуги и сервисы организаций инфраструктуры и меры поддержки с открытым доступом для федеральных и региональных органов власти, институтов развития и других организаций</t>
  </si>
  <si>
    <t>Проведена инвентаризация всех услуг и сервисов организаций инфраструктуры и мер поддержки, обеспечена возможность получения доступа к ним федеральных и региональных органов власти, институтов развития и других организаций</t>
  </si>
  <si>
    <t xml:space="preserve">Информирование субъектов МСП о услугах и сервисах, а также о мерах поддержки позволит вовлечь бельшее количество субъектов МСП </t>
  </si>
  <si>
    <t xml:space="preserve">1 479,60 </t>
  </si>
  <si>
    <t>Обеспечено оказание услуг и сервисов организаций инфраструктуры и мер поддержки в электронном виде (с использованием ЕСИА) субъектам МСП</t>
  </si>
  <si>
    <t>Обеспечена возможность получения субъектами МСП услуг и сервисов организаций инфраструктуры и мер поддержки в электронном виде с использованием ЕСИА</t>
  </si>
  <si>
    <t xml:space="preserve">1 728,00 </t>
  </si>
  <si>
    <t>Обеспечен доступ через единый личный кабинет к ключевым производственно-сбытовым площадкам, образовательным платформам и информационным системам</t>
  </si>
  <si>
    <t>Обеспечена интеграция единого личного кабинета субъекта МСП (с использованием ЕСИА) с ключевыми государственными и негосударственными образовательными платформами, информационными системами и производственно-сбытовыми площадками с возможностью размещения заявок и осуществления торговли в электронном виде</t>
  </si>
  <si>
    <t>Доступ к производственно-сбытовым площадкам позволит расширить количество пользователей выпускаемых товаров и услуг</t>
  </si>
  <si>
    <t xml:space="preserve">1 020,00 </t>
  </si>
  <si>
    <t>Реализованы мероприятия по снятию административных барьеров в целях повышения экспортного потенциала услуг по обработке и хранению данных и облачных сервисов</t>
  </si>
  <si>
    <t>Разработан и​ реализован комплекс мерпо снятию административных барьеров в целях повышения экспортного потенциала услуг по обработке и хранению данных и облачных сервисов</t>
  </si>
  <si>
    <t>Обеспечено посредством АИС управление заявками субъектов МСП, обращающихся за финансовой поддержкой в рамках Национальной гарантийной системы (НГС), онлайн-взаимодействие между банками-партнерами и организациями-партнерами, аккредитованными участниками НГС, и заемщиками - субъектами МСП, в целях предоставления кредитно-гарантийной поддержки, включая программы льготного кредитования</t>
  </si>
  <si>
    <t>Обеспечено посредством АИС управление заявками субъектов МСП, обращающихся за финансовой поддержкой в рамках Национальной гарантийной системы (НГС), онлайн-взаимодействие между банками-партнерами и организациями-партнерами, аккредитованными участниками НГС, и заемщиками - субъектами МСП</t>
  </si>
  <si>
    <t>упрощение процедуры доступа к финансовым ресурсом</t>
  </si>
  <si>
    <t>Законодательно установлен порядок ведения единого реестра субъектов МСП - получателей поддержки, определены условия представления для формирования указанного реестра информации, ответственные за представление такой информации</t>
  </si>
  <si>
    <t>Принят федеральный закон, которым установлен порядок ведения единого реестра субъектов МСП - получателей поддержки</t>
  </si>
  <si>
    <t>пункт 11, Приложение № 2
 к ГП</t>
  </si>
  <si>
    <t>формирование порядка ведения единого реестра позволит сформировать качественный реестр МСП</t>
  </si>
  <si>
    <t>Сформирован единый реестр субъектов МСП - получателей поддержки</t>
  </si>
  <si>
    <t>Сформирован единый реестр субъектов МСП - получателей поддержки на сайте Федеральной налоговой службы Российской Федерации</t>
  </si>
  <si>
    <t xml:space="preserve">реестр субъектов МСП позволит оказывать им адресную помощь </t>
  </si>
  <si>
    <t>Введена в промышленную эксплуатацию государственная единая облачная платформа</t>
  </si>
  <si>
    <t>​Приказ Минкомсвязи России о вводе государственной
 единой облачной платформы в промышленную эксплуатацию. Создана инженерная
 инфраструктура государственной единой облачной платформы, состоящая из центров
 обработки данных, сети передачи данных, системы обеспечения информационной
 безопасности, платформы облачных вычислений для размещения информационных
 систем органов государственной власти и органов местного самоуправления.
 Определен начальный перечень участников по созданию модулей государственной
 единой облачной платформы из числа отечественных компаний. Разработана ИС
 платформы облачных вычислений. К разработке компонентов и модулей ИС платформы
 облачных вычислений привлечены российские компании-разработчики. Компоненты и
 модули ИС платформы облачных вычислений базируются на российских проприетарных
 решениях или на решениях с максимальным применением свободного программного
 обеспечения (подпадающие под определение свободной лицензии). Аттестованы на
 соответствие требованиям по защите информации IaaS-, SaaS- и другие облачные решения,
 применяемые в государственной единой облачной платформе</t>
  </si>
  <si>
    <t>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 (или) численности занятых, достигло 2 160 тыс. ед. в 2019 - 2024 гг. (нарастающим итогом)</t>
  </si>
  <si>
    <t>Достигнуто значение количества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и улучшивших показатели выручки и/или численности занятых, в объеме 2 160 тыс. ед. в 2019 - 2024 гг. (нарастающим итогом)</t>
  </si>
  <si>
    <t>2.7</t>
  </si>
  <si>
    <t>Увеличение количества субъектво МСП потенциально содействует социально-экономическому развитию регионов</t>
  </si>
  <si>
    <t>Установлена административная ответственность за нарушение крупнейшими заказчиками законодательства Российской Федерации в части сроков оплаты по договорам, заключенным с субъектами МСП по результатам закупок</t>
  </si>
  <si>
    <t>Государственной Думой Федерального Собрания Российской Федерации принят федеральный закон, предусматривающий внесение изменений в Кодекс Российской Федерации об административных правонарушениях в части установления административной ответственности за нарушение заказчиками сроков оплаты по договорам, заключенным с субъектами МСП, предусмотренных постановлением Правительства Российской Федерации от 11 декабря 2014 г. № 1352 "Об особенностях участия субъектов малого и среднего предпринимательства в закупках товаров, работ, услуг отдельными видами юридических лиц"</t>
  </si>
  <si>
    <t xml:space="preserve">3.1
</t>
  </si>
  <si>
    <t xml:space="preserve">Дополнительная защита субъектов МСП должна обеспечить более активное участие МСП в крупных сделках, таким образом увеличивая прибыль, что может привести к содействию СЭР  </t>
  </si>
  <si>
    <t>Поставщикам расширен до 3 лет горизонт планирования закупок у субъектов МСП, осуществляемых в соответствии с Федеральным законом "О закупках товаров, работ, услуг отдельными видами юридических лиц"</t>
  </si>
  <si>
    <t>Государственной Думой Федерального Собрания Российской Федерации принят федеральный закон, предусматривающий внесение изменений в Федеральный закон от 18 июля 2011 г. № 223-ФЗ "О закупках товаров, работ, услуг отдельными видами юридических лиц" в части расширения горизонта планирования закупок у субъектов МСП до 3 лет</t>
  </si>
  <si>
    <t>Расширение участия субъектов МСП в закупках поставщиков увеличивает оборот (и возможно доход) субъектов МСП, таким образом содействуя СЭР</t>
  </si>
  <si>
    <t>Создана геораспределенная катастрофоустойчивая система центров обработки данных (в том числе с использованием отечественного оборудования), обеспечивающая обработку данных, формируемых российскими гражданами и организациями на территории Российской Федерации</t>
  </si>
  <si>
    <t>Запущены центры обработки данных в Центральном федеральном округе, Северо-Западном федеральном округе, Уральском федеральном округе, Сибирском федеральном округе, Приволжском федеральном округе и Дальневосточном федеральном округе</t>
  </si>
  <si>
    <t>Увеличена до 18% доля закупок крупнейших заказчиков, участниками которых являются только субъекты МСП</t>
  </si>
  <si>
    <t>Правительством Российской Федерации издано постановление, предусматривающее внесение изменений в Положение об особенностях участия субъектов малого и среднего предпринимательства в закупках товаров, работ, услуг отдельными видами юридических лиц, утвержденное постановлением Правительства Российской Федерации от 11 декабря 2014 г. № 1352 "Об особенностях участия субъектов малого и среднего предпринимательства в закупках товаров, работ, услуг отдельными видами юридических лиц" в части увеличения доли закупок, участниками которых являются только субъекты МСП, до 18%</t>
  </si>
  <si>
    <t>3.3</t>
  </si>
  <si>
    <t>у МСП появится дополнительные возможности реализации своей продукции или услуг</t>
  </si>
  <si>
    <t>Обеспечено распространение на поставщиков механизмов факторинга в закупках у субъектов МСП крупнейших заказчиков посредством определения в положениях о закупках сведений о возможности применения факторинга у не менее чем 100 крупнейших заказчиков, с учетом особенностей регионов, в которых отсутствуют крупнейшие заказчики регионального уровня, определяемые Правительством Российской Федерации</t>
  </si>
  <si>
    <t>Издана директива Правительства Российской Федерации представителям интересов Российской Федерации в составах советов директоров (наблюдательных советов) акционерных обществ с государственным участием, являющихся заказчиками, закупочная деятельность которых подпадает под действие Федерального закона от 18 июля 2011 г. № 223-ФЗ "О закупках товаров, работ, услуг отдельными видами юридических лиц", предусматривающая определение в положениях о закупках сведений о возможности применения факторинга</t>
  </si>
  <si>
    <t xml:space="preserve">4.1
</t>
  </si>
  <si>
    <t>у МСП появится дополнительные возможности реализации своей продукции или услуг с помощью факторинга</t>
  </si>
  <si>
    <t>В программы повышения качества управления закупочной деятельности компаний из числа субъектов естественных монополий и компаний с государственным участием включены показатели эффективности с методикой расчета, связанные с обеспечением закупок у субъектов МСП, с учетом особенностей регионов, в которых отсутствуют крупнейшие заказчики регионального уровня, определяемые Правительством Российской Федерации</t>
  </si>
  <si>
    <t xml:space="preserve">Издана директива Правительства Российской Федерации представителям интересов Российской Федерации в составах советов директоров (наблюдательных советов) акционерных обществ с государственным участием, являющихся заказчиками, закупочная деятельность которых подпадает под действие Федерального закона от 18 июля 011 г. № 223-ФЗ "О закупках товаров, работ, услуг отдельными видами юридических лиц", предусматривающая включение в программы повышения качества управления закупочной деятельности компаний из числа субъектов естественных монополий и компаний с государственным участием следующих показателей эффективности, связанных с обеспечением закупок у субъектов МСП: - прирост объема закупок у субъектов МСП; - увеличение количества участников закупок из числа субъектов МСП; - увеличение количества поставщиков из числа субъектов МСП и количества договоров, заключаемых с субъектами МСП; - экономия средств заказчика при осуществлении закупок у субъектов МСП </t>
  </si>
  <si>
    <t>- предоставление льготных микрозаймов на покупку франшизы; - повышение информированности экономически активного населения о модели франчайзинга, доступном ассортименте предложений и путях развития франчайзингового бизнеса; - передача технологий франчайзинга в компании, заинтересованные в создании и развитии собственных франшиз; - консультации и создание франчайзинговых пакетов для региональных предпринимателей на основе их успешно работающего бизнеса; - поиск местных брендов, которые могут стать франчайзерами и подготовка каталога успешных франшиз для предпринимателей; - оперативное консультирование бизнеса по вопросам развития франшизы; - обучение франчайзи, помощь с установлением деловых связей. К 2024 году создано не менее 120 региональных франшиз</t>
  </si>
  <si>
    <t>Обеспечен объем закупок крупнейших заказчиков у субъектов МСП, зарегистрированных на территории Дальневосточного федерального округа, в том числе:
 в 2019 году в размере не менее 137,7 млрд рублей;
 в 2020 году в размере не менее 172,1 млрд рублей;
 в 2021 году в размере не менее 215,1 млрд рублей;
 в 2022 году в размере не менее 268,9 млрд рублей;
 в 2023 году в размере не менее 336,1 млрд рублей;
 в 2024 году в размере не менее 420,1 млрд рублей</t>
  </si>
  <si>
    <t>В результате реализации АО "Корпорация "МСП" и органами исполнительной власти субъектов Российской Федерации мероприятий, направленных на расширение доступа субъектов МСП, зарегистрированных на территории Дальневосточного федерального округа, к закупкам крупнейших заказчиков обеспечено увеличение суммарного годового объема закупок у субъектов МСП, зарегистрированных на территории Дальневосточного федерального округа, сформированных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 В целях сопоставления данных используются также данные Казначейства России</t>
  </si>
  <si>
    <t>Переведены в государственную единую облачную платформу информационные системы и информационные ресурсы федеральных органов исполнительной власти и государственных внебюджетных фондов</t>
  </si>
  <si>
    <t>Государственные информационные системы и информационные ресурсы переведены в государственную единую облачную платформу</t>
  </si>
  <si>
    <t>у МСП появится дополнительные возможности реализации своей продукции или услуг для крупнейших заказчиков</t>
  </si>
  <si>
    <t>Обеспечен объем закупок крупнейших заказчиков у субъектов МСП, зарегистрированных на территории Северо-Кавказского федерального округа, в том числе: 
 в 2019 году в размере не менее 35,44 млрд рублей;
 в 2020 году в размере не менее 44,30 млрд рублей;
 в 2021 году в размере не менее 55,37 млрд рублей;
 в 2022 году в размере не менее 69,22 млрд рублей;
 в 2023 году в размере не менее 86,52 млрд рублей;
 в 2024 году в размере не менее 110,00 млрд рублей</t>
  </si>
  <si>
    <t>В результате реализации АО "Корпорация "МСП" и органами исполнительной власти субъектов Российской Федерации мероприятий, направленных на расширение доступа субъектов МСП, зарегистрированных на территории Северо-Кавказского федерального округа, к закупкам крупнейших заказчиков обеспечено увеличение суммарного годового объема закупок у субъектов МСП, зарегистрированных на территории Северо-Кавказского федерального округа, сформированных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 В целях сопоставления данных используются также данные Казначейства России</t>
  </si>
  <si>
    <t>Внедрены механизмы и разработаны методические рекомендации развития ("выращивания") поставщиков - субъектов МСП в целях их потенциального участия в закупках товаров, работ, услуг крупнейших заказчиков, в том числе с использованием инфраструктуры поддержки МСП</t>
  </si>
  <si>
    <t>Подготовлен проект доклада в Правительство Российской Федерации в части рассмотрения возможности внесения изменений в Федеральный закон от 18 июля 2011 г. № 223 -ФЗ "О закупках товаров, работ, услуг отдельными видами юридических лиц" и иные нормативные правовые акты, в части реализации крупнейшими заказчиками мероприятий, направленных на оказание финансовой, имущественной, информационной, маркетинговой и иной поддержки субъектов МСП в целях стимулирования их развития ("выращивания") в качестве поставщиков (исполнителей, подрядчиков) при осуществлении закупок товаров, работ, услуг В связи с внесением в законодательство Российской Федерации указанных изменений АО "Корпорация "МСП" доработает Методические рекомендации по вопросам оказания финансовой, имущественной, информационной, маркетинговой и иной поддержки субъектам малого и среднего предпринимательства в целях стимулирования их развития в качестве поставщиков (исполнителей, подрядчиков) при осуществлении закупок товаров, работ, услуг заказчиками, определенными Правительством Российской Федерации в соответствии с Законом № 223-ФЗ, утвержденные решением Совета директоров АО "Корпорация "МСП" (протокол от 17 ноября 2017 г. № 45)</t>
  </si>
  <si>
    <t>4.5</t>
  </si>
  <si>
    <t>Создана общественная сетевая платформа управления правами на результаты интеллектуальной деятельности и средства индивидуализации, обеспечивающая развитие сервисов управления такими правами в цифровой среде (открытая общественная технологическая инфраструктура) и общественно-государственная организация, обеспечивающая функционирование указанной инфраструктуры</t>
  </si>
  <si>
    <t>Обеспечена реализация ежегодно не менее 5 компаниями с иностранным участием, локализующими или планирующими локализовать производство на территории Российской Федерации, мероприятий по встраиванию российских субъектов МСП в цепочки поставок в целях повышения уровня локализации производства на территории Российской Федерации, в том числе посредством налаживания делового сотрудничества между российскими субъектами МСП и такими компаниями</t>
  </si>
  <si>
    <t>В целях встраивания российских субъектов МСП в цепочки поставок в целях повышения уровня локализации производства на территории Российской Федерации осуществлено взаимодействие с иностранными организациями, объединениями и институтами развития, ответственными за поддержку МСП, а также интернационализацию бизнеса, прежде всего в рамках действующих меморандумов и соглашений о сотрудничестве с АО "Корпорация "МСП", а также организовано взаимодействие с компаниями с иностранным участием, локализующими или планирующими локализовать производство на территории Российской Федерации</t>
  </si>
  <si>
    <t>4.6</t>
  </si>
  <si>
    <t xml:space="preserve">Встраивание российских субъектов МСП в международные производственные цепочки позволяет данным компаниям снижать издержки входа на рынок
</t>
  </si>
  <si>
    <t>Количество субъектов МСП, включенных в реестр производственных субъектов МСП - потенциальных поставщиков крупнейших заказчиков, тыс. ед. нарастающим итогом</t>
  </si>
  <si>
    <t>С учетом предложений органов государственной власти субъектов Российской Федерации АО "Корпорация "МСП" сформирован реестр производственных субъектов МСП - потенциальных поставщиков крупнейших заказчиков</t>
  </si>
  <si>
    <t>4.7</t>
  </si>
  <si>
    <t xml:space="preserve">Создание подобного реестра позволяет субъектам МСП быстрее находить клиентов с более низкими издержками
</t>
  </si>
  <si>
    <t xml:space="preserve">Создана отечественная цифровая платформа сбора, обработки, хранения и распространения данных дистанционного зондирования Земли из космоса, обеспечивающая потребности граждан, бизнеса и власти. Обеспечена реализация проекта «Цифровая земля»дистанционное </t>
  </si>
  <si>
    <t>Создана отечественная цифровая платформа сбора, обработки, хранения и распространения данных дистанционного зондирования Земли из космоса</t>
  </si>
  <si>
    <t>Объем закупок крупнейших заказчиков у субъектов МСП составил:
 в 2019 году - 3,0 трлн рублей;
 в 2020 году - 3,4 трлн рублей;
 в 2021 году - 3,8 трлн рублей;
 в 2022 году - 4,2 трлн рублей;
 в 2023 году - 4,6 трлн рублей;
 в 2024 году - 5,0 трлн рублей</t>
  </si>
  <si>
    <t>Данный показатель рассчитывается как суммарный годовой объем закупок у субъектов МСП, 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t>
  </si>
  <si>
    <t>4.8</t>
  </si>
  <si>
    <t>21</t>
  </si>
  <si>
    <t>логика отсутствует; данные показатели являются в большой степени проективными и не могут напрямую воздействовать на субъекты МСП, кроме обозначения наличия роста спроса на продукцию со стороны крупнейших заказчиков</t>
  </si>
  <si>
    <t>Кол-во ФП</t>
  </si>
  <si>
    <t>Кол-во уникальных результатов</t>
  </si>
  <si>
    <t>Аносова Татьяна Викторовна</t>
  </si>
  <si>
    <t>На базе Портала Бизнес-навигатора МСП реализованы возможности организации сбыта производимой субъектами МСП продукции</t>
  </si>
  <si>
    <t>Обеспечена интеграция сервисов Портала Бизнес-навигатора МСП с Государственной информационной системой промышленности (ГИСП), в том числе в части организации обмена информацией о мерах поддержки субъектов МСП, объектах инфраструктуры поддержки субъектов МСП, интеграции иных сервисов Портала Бизнес-навигатора МСП и ГИСП, а также реализации в Бизнес-навигаторе МСП функционала рыночных ниш и примерных бизнес-планов для ряда производственных видов бизнеса по аналогии с существующим функционалом расчета рыночных ниш и примерных бизнес-планов для видов бизнеса в сфере городских розничных услуг</t>
  </si>
  <si>
    <t>Архипов Артем Александрович</t>
  </si>
  <si>
    <t xml:space="preserve">5.1
</t>
  </si>
  <si>
    <t>Васильева Людмила Анатольевна</t>
  </si>
  <si>
    <t>Груздева Елена Петровна</t>
  </si>
  <si>
    <t>представлена дополнительная площадка для сбыта продукции субъектам МСП</t>
  </si>
  <si>
    <t>Жевленев Егор Сергеевич</t>
  </si>
  <si>
    <t>Зыков Яков Александрович</t>
  </si>
  <si>
    <t>Коваленко Владислав Владимирович</t>
  </si>
  <si>
    <t>Кулаков Владимир Вячеславович</t>
  </si>
  <si>
    <t>Ревако Елена Александровна</t>
  </si>
  <si>
    <t>Созданы сегменты федеральной сети геодезических станций («пилотные проекты») в соответствии с утвержденной концепцией создания федеральной сети геодезических станций и проведена интеграция информации существующих сетей и их развитие в соответствии с утвержденным планом</t>
  </si>
  <si>
    <t>Всоответствии с утвержденной концепцией создания федеральной сети геодезических станций ​созданы сегменты федеральной сети геодезических станций («пилотные проекты»)и проведена интеграция информации существующих сетей и их развитие в соответствии с утвержденным планом</t>
  </si>
  <si>
    <t>Терентьев Владислав Юрьевич</t>
  </si>
  <si>
    <t>Тишина Тамара Евгеньевна</t>
  </si>
  <si>
    <t>Обеспечена возможность участия субъектов МСП в формировании обновленной городской среды и инфраструктуры посредством расширения функционала Бизнес-навигатора МСП</t>
  </si>
  <si>
    <t>Обеспечено включение в Бизнес-навигатор МСП планов благоустройства дворовых и общественных территорий из состава ГИС ЖКХ в целях информирования субъектов малого и среднего предпринимательства о параметрах планируемых работ по благоустройству</t>
  </si>
  <si>
    <t>Филиппова Юлия Алексеевна</t>
  </si>
  <si>
    <t>Чабак Владислав Алексеевич</t>
  </si>
  <si>
    <t>5.2</t>
  </si>
  <si>
    <t>Расширение возможностей субъектов МСП потенциально приводит к увеличению доходов субъектов МСП и увеличению количества субъектов МСП</t>
  </si>
  <si>
    <t>ИТОГО</t>
  </si>
  <si>
    <t>Обеспечена цифровизация всех основных этапов участия субъектов МСП в закупках (от подбора закупок до заключения договоров)</t>
  </si>
  <si>
    <t>Внедрены электронные сервисы для поддержки субъектов МСП с целью участия субъектов МСП в закупках, предусматривающие: - цифровизацию процесса участия субъектов МСП в закупках в части взаимного признания крупнейшими заказчиками типовых заявок, заполняемых субъектами МСП с использованием функционала АИС Мониторинг МСП АО "Корпорация "МСП"; - консолидацию мер поддержки, оказываемых инновационным, высокотехнологичным субъектам МСП АО "Корпорация "МСП" и институтами развития в сфере инноваций; - единого агрегатора мер поддержки субъектов МСП, зарегистрированных на территории моногородов; - электронной платформы для развития факторинга</t>
  </si>
  <si>
    <t>5.3</t>
  </si>
  <si>
    <t>Всего</t>
  </si>
  <si>
    <t>Цифровизация всех процессов позволит сделать прозрачными процессы подбора субъектов МСП</t>
  </si>
  <si>
    <t>Проанализировано / в процессе</t>
  </si>
  <si>
    <t>Процент выполнения</t>
  </si>
  <si>
    <t>ФП и ГП</t>
  </si>
  <si>
    <t>Законодательно закреплены порядок учета и сбора информации о количестве и объемах несырьевого экспорта товаров (работ, услуг) субъектов МСП-экспортеров без увеличения объема отчетности для субъектов МСП</t>
  </si>
  <si>
    <t>Принят нормативный правовой акт, регулирующий порядок учета и сбора информации о количестве и объемах несырьевого экспорта товаров (работ, услуг) субъектов МСП- экспортеров без увеличения объема отчетности для субъектов МСП</t>
  </si>
  <si>
    <t xml:space="preserve">6.1
</t>
  </si>
  <si>
    <t>законодательное закрепление о порядке сбора и учета информации о количестве и объемах несырьевого экспорта товаров позволит получать данные на основании которых появится возможность оказывать поддержку для СМП эффективнее</t>
  </si>
  <si>
    <t>Создана универсальная цифровая платформа инвентаризации, учета и контроля состояния всех видов энергоресурсов имущественных комплексов государственной и муниципальной форм собственности</t>
  </si>
  <si>
    <t>Создана и внедрена цифровая платформа – комплексная система, обеспечивающая сбор данных о производстве, транспортировке и потреблении коммунальных услуг (ресурсов) в едином формате, и реализуется возможность автоматизированного управления этими процессами в режиме реального времени; разработаны и внедрены единые технологические стандарты к ведению деятельности организаций, занятых в сфере ЖКХ, обеспечивающие доведение в электронной форме информации о представлении, количестве и стоимости коммунальных услуг; внедрены цифровые сервисы и технологии, в том числе мобильные, повышающие комфорт потребителей при оказании услуг ЖКХ.</t>
  </si>
  <si>
    <t>Созданы кредитно-гарантийные продукты АО "Корпорация "МСП", АО "МСП Банк" с льготными условиями финансирования для субъектов МСП - экспортеров ("коробочный продукт")</t>
  </si>
  <si>
    <t>Кредитные и гарантийные продукты АО "Корпорация "МСП", АО "МСП Банк" включены в единый комплекс мер поддержки экспорта. Субъектам МСП - экспортно- ориентированным компаниям предоставлена возможность получения финансовой и гарантийной поддержки на цели развития своей деятельности</t>
  </si>
  <si>
    <t>6.2</t>
  </si>
  <si>
    <t>Создание кредитно-гарантийных продуктов способствует снижению издержек кредитования субъектов МСП и в свою очередь должно снижать риски неисполнения обязательств кредитуемых объектов. Это, в свою очередь, снижает риски случайного ухода эффективных агентов с рынка и понижает издержки кредитующих организаций.</t>
  </si>
  <si>
    <t>Обеспечено взаимодействие федеральных и региональных институтов развития в целях оказания комплексной поддержки субъектам малого и Среднего предпринимательства в сфере несырьевого экспорта в субъектах Российской Федерации, в которых одновременно осуществляют деятельность региональные подразделения АО «РЭЦ», региональные гарантийные организаций, региональные фонды развития промышленности (система «Инвестиционный лифт»)</t>
  </si>
  <si>
    <t>Разработан и внедрен регламент взаимодействия региональных институтов развития и организаций инфраструктуры поддержки экспортно - ориентированных субъектов МСП в субъектах Российской Федерации</t>
  </si>
  <si>
    <t>6.3</t>
  </si>
  <si>
    <t>Логика привязки очевидно не прослеживается</t>
  </si>
  <si>
    <t>АО "Российский экспортный центр" определен агентом Правительства Российской Федерации по субсидии бюджетам субъектов Российской Федерации на создание и развитие ЦПЭ</t>
  </si>
  <si>
    <t>АО "Российский экспортный центр" осуществляет полномочия по оценке заявок субъектов Российской Федерации в части создания и развития центров поддержки экспорта (сбор, проверка полноты представленных документов, оформление заключения о соответствии заявки, согласование планов работ, показателей и иных документов, необходимых для работы центров, мониторинг)</t>
  </si>
  <si>
    <t>6.4</t>
  </si>
  <si>
    <t xml:space="preserve">Наделение централизованного органа полномочиями создавать и развивать ЦПЭ должно снижать риски неисполнения ими обязанностей и способствовать снижению рисков от взаимодействия субъектов МСП с ЦПЭ. Это должно помешать уходу эффективных компаний с рынка в силу случайных обстоятельств и таким образом способствовать экономическому росту.
</t>
  </si>
  <si>
    <t>АО "Российский экспортный центр" законодательно наделено полномочиями по оценке соответствия ЦПЭ требованиям, установленным Минэкономразвития России, а также по осуществлению анализа результатов деятельности указанной инфраструктуры</t>
  </si>
  <si>
    <t>АО "Российский экспортный центр" в рамках Федерального закона от 24 июля 2007 г. № 209 -ФЗ "О развитии малого и среднего предпринимательства в Российской Федерации" наделен функцией координации работы инфраструктуры поддержки экспорта субъектов малого и среднего предпринимательства в субъектах Российской Федерации (центры поддержки экспорта), а также осуществления анализа результатов деятельности указанной инфраструктуры</t>
  </si>
  <si>
    <t>6.5</t>
  </si>
  <si>
    <t>пункт 10, Приложение № 2
 к ГП</t>
  </si>
  <si>
    <t>Созданы методологическая и организационная основы для формирования экосистемы «Умного города», включая проведение оценки IQ для городов и внедрение тиражируемых технологий цифровизации городского хозяйства (Умного города) с использованием ресурса «Банк решений умного города»</t>
  </si>
  <si>
    <t xml:space="preserve">Наделение централизованного органа полномочиями оценивать деятельность ЦПЭ должно снижать риски неисполнения ими обязанностей, в том числе способствовать снижению рисков от взаимодействия субъектов МСП с ЦПЭ. Это должно помешать уходу эффективных компаний с рынка в силу случайных обстоятельств и таким образом способствовать экономическому росту.
</t>
  </si>
  <si>
    <t>​1. Созданы методологическая и организационная основы для формирования экосистемы "Умного города", включая проведение оценки IQ для городов.2. Внедрены тиражируемые технологии цифровизации городского хозяйства (Умного города) с использованием ресурса "Банк решений умного города".</t>
  </si>
  <si>
    <t>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 экспортно-ориентированных субъектов МСП, тыс. ед. нарастающим итогом</t>
  </si>
  <si>
    <t>В 2021 году во всех субъектах Российской Федерации обеспечен равный доступ субъектов малого и среднего предпринимательства к государственным мерам поддержки экспорта, в частности в 75 субъектах Российской Федерации созданы и осуществляют свою деятельность ЦПЭ, в других субъектах Российской Федерации обеспечена консультационная поддержка экспортеров. Количество субъектов МСП, заключивших контракты по экспорту при поддержке ЦПЭ, достигло 15,4 тыс.ед. (нарастающим итогом, начиная с 2018 года включительно) к 2024 году</t>
  </si>
  <si>
    <t>6.6</t>
  </si>
  <si>
    <t>Экспортная поддержка субъектов МСП должная снижать фиксированные издержки выхода на рынок, а также снижать риски взаимодействия с иностранными агентами. Это должно способствовать развитию данных субъектов и вести к экономическому росту регионов.</t>
  </si>
  <si>
    <t xml:space="preserve">14 282,78 
</t>
  </si>
  <si>
    <t>Обеспечена реализация акселерационных программ для субъектов МСП-экспортеров, в том числе на базе ЦПЭ (мероприятия реализуются в рамках национальной программы "Международная кооперация и экспорт")</t>
  </si>
  <si>
    <t>Не менее, чем 10 субъектами Российской Федерации направлены в акселерационные программы в "пилотном" режиме не менее 50 компаний</t>
  </si>
  <si>
    <t>6.7</t>
  </si>
  <si>
    <t xml:space="preserve">Акселерационные программы должны снижать издержки субъектов МСП-экспортеров для выхода на рынок, что способствует их развитию и насыщению рынка, что ведет к более эффективному развитию регионов.
</t>
  </si>
  <si>
    <t xml:space="preserve">17 893, 32 </t>
  </si>
  <si>
    <t xml:space="preserve">14 935, 18 </t>
  </si>
  <si>
    <t xml:space="preserve">7 391, 22 </t>
  </si>
  <si>
    <t xml:space="preserve">16 250 740,0 </t>
  </si>
  <si>
    <t>Президиумом Совета при Президенте Российской Федерации по стратегическому развитию и национальным проектам определены показатели эффективности, характеризующие развитие экспорта субъектов МСП в субъектах Российской Федерации (количество экспортеров МСП и объем несырьевого экспорта МСП субъектов Российской Федерации) в том числе в целях формирования региональных проектов развития экспорта</t>
  </si>
  <si>
    <t>Разработаны показатели эффективности, характеризующие развитие экспорта малого и среднего предпринимательства в субъектах Российской Федерации (количество экспортеров МСП и объем несырьевого экспорта МСП субъектов Российской Федерации). Показатели включены субъектами Российской Федерации в региональные проекты развития экспорта</t>
  </si>
  <si>
    <t>6.8</t>
  </si>
  <si>
    <t>Создание показателей эффективности, которые являются мерой развития экспорта и обеспечение их мониторинга позволяют фиксировать тренды и понимать степень воздействия мероприятий правительства на развитие регионов. Это позволит корректировать политику правительства и способствовать более эффективному развитию регионов.</t>
  </si>
  <si>
    <t>Система «Инвестиционный лифт» включена субъектами Российской Федерации в региональные проекты, обеспечивающие достижение целей, показателей и результатов федерального проекта «Системные меры развития международной кооперации и экспорта» в рамках внедрения Регионального экспортного стандарта 2.0</t>
  </si>
  <si>
    <t xml:space="preserve">  Разработан и внедрен регламент взаимодействия региональных институтов развития и организаций инфраструктуры поддержки экспортно ориентированных субъектов МСП в субъектах Российской Федерации </t>
  </si>
  <si>
    <t>Информационные системы Росреестра защищены от внутренних и внешних угроз безопасности информации средствами криптографической защиты и ведомственным центром</t>
  </si>
  <si>
    <t>​Осуществлена поставка средств защиты информационных
 систем Росреестра (акт), создан ведомственный центр управления событиями
 информационной безопасности Росреестра (протокол приёмки)</t>
  </si>
  <si>
    <t xml:space="preserve">включение субъектами региональных проектов в систему " Инвестиционный лифт" позволит получить субъектам МСП в регионах доступ ко всем имеющимся финансовым и нефинансовым инструментам поддержки субъектов МСП со стороны Федеральных организаций поддержки </t>
  </si>
  <si>
    <t>Сформирована система поддержки проектов в сфере социального предпринимательства</t>
  </si>
  <si>
    <t xml:space="preserve"> -</t>
  </si>
  <si>
    <t>Начало Федеральный проект 3</t>
  </si>
  <si>
    <t>Поддержаны проекты малых предприятий по разработке и внедрению цифровых платформ и технологий для них, направленных на развитие информационной инфраструктуры</t>
  </si>
  <si>
    <t>Осуществлена поддержка проектов малых предприятий по разработке и внедрению цифровых платформ и технологий для них, направленных на развитие информационной инфраструктуры</t>
  </si>
  <si>
    <t>Разработаны, введены в эксплуатацию и функционирует государственная информационная система Федеральный портал пространственных данных, обеспечивающая доступ к сведениям, содержащимся в федеральном фонде пространственных данных, и государственная информационная система ведения Единой электронной картографической основы</t>
  </si>
  <si>
    <t>Разработана и введена в эксплуатацию ​государственная информационная система ведения Единой электронной картографической основы. Разработана, введена в эксплуатацию и функционируют государственная информационная система Федеральный портал пространственных данных, обеспечивающая доступ к сведениям, содержащимся в федеральном фонде пространственных данных.</t>
  </si>
  <si>
    <t>Конец Федеральный проект 3</t>
  </si>
  <si>
    <t>Создана единая электронная картографическая основа, обеспечено ее использование в деятельности не менее 5 заинтересованных федеральных органов исполнительной власти</t>
  </si>
  <si>
    <t>Обеспечены способы предоставления в электронном виде пространственных данных и материалов, содержащихся в федеральном фонде пространственных данных, создана единая электронная картографическая основа (ЕЭКО)</t>
  </si>
  <si>
    <t>Всего уникальных результатов</t>
  </si>
  <si>
    <t>Созданы 4 космических аппарата «Экспресс-РВ1/РВ2/РВ3/РВ4» на высокоэллиптических орбитах и 1 космический аппарат «Экспресс-РВ5» в резерве</t>
  </si>
  <si>
    <t>Созданы 4 космических аппарата «Экспресс-РВ1/РВ2/РВ3/РВ4» на высокоэллиптических орбитах и 1 космический аппарат «Экспресс-РВ5» в резерве. Мероприятие реализовывается с 2022 года.</t>
  </si>
  <si>
    <t>НП</t>
  </si>
  <si>
    <t>P</t>
  </si>
  <si>
    <t>Демография</t>
  </si>
  <si>
    <t>N</t>
  </si>
  <si>
    <t>Здравоохранение</t>
  </si>
  <si>
    <t>E</t>
  </si>
  <si>
    <t>Образование</t>
  </si>
  <si>
    <t>F</t>
  </si>
  <si>
    <t>Жилье и городская среда</t>
  </si>
  <si>
    <t>G</t>
  </si>
  <si>
    <t>Начало Федеральный проект L1  "Системные меры по повышению производительности труда"</t>
  </si>
  <si>
    <t>Экология</t>
  </si>
  <si>
    <t>R</t>
  </si>
  <si>
    <t>Безопасные и качественные автомобильные дороги</t>
  </si>
  <si>
    <t>L</t>
  </si>
  <si>
    <t>Производительность труда и поддержка занятости</t>
  </si>
  <si>
    <t>S</t>
  </si>
  <si>
    <t>Наука</t>
  </si>
  <si>
    <t>Малое и среднее предпринимательство и поддержка индивидуальной предпринимательской инициативы</t>
  </si>
  <si>
    <t>T</t>
  </si>
  <si>
    <t>Обеспечено развитие информационно-телекоммуникационной инфраструктуры объектов общеобразовательных организаций</t>
  </si>
  <si>
    <t>Международная кооперация и экспорт</t>
  </si>
  <si>
    <t>Обеспечено к концу 2019 года в не менее чем 1700 общеобразовательных организациях развитие информационно-телекоммуникационной инфраструктуры, в части модернизации существующих структурированных кабельных систем и локальных вычислительных сетей внутри объектов общеобразовательных организаций, а также решения технологических вопросов обеспечения комплексной безопасности, а именно системы видеонаблюдения, контроля доступа и источников бесперебойного обеспечения. Реализация мероприятий осуществляется путем предоставления субъектам Российской Федерации из средств федерального бюджета иного межбюджетного трансферта на приобретение оборудования и средств коммутации. За счет средств бюджетов субъектов Российской Федерации предлагается осуществить проведение проектировочных и строительно-монтажных работ.</t>
  </si>
  <si>
    <t>V</t>
  </si>
  <si>
    <t>Комплексный план модернизации и расширения магистральной инфраструктуры на период до 2024 года</t>
  </si>
  <si>
    <t xml:space="preserve">Развернута программа льготных займов, льготных кредитов и других мер финансового стимулирования для предприятий, соответствующих критериям по росту производительности труда
</t>
  </si>
  <si>
    <t>Обеспечен доступ предприятиям - участникам национального проекта к льготному заемному   финансированию (при среднем размере займа 100 млн. рублей займом смогут воспользоватьсядо 165 предприятий) с целью внедрения передовых технологических решений для повышения производительноститруда и модернизации основных фондов</t>
  </si>
  <si>
    <t>L1</t>
  </si>
  <si>
    <t xml:space="preserve">Механизм субсидирования процентных ставок реализовывается в рамках национального проекта "Малое и среднее предпринимательство и поддержка индивидуальной предпринимательской инициативы".  с 2019 года
</t>
  </si>
  <si>
    <t xml:space="preserve">Обеспечение стабильного экономического роста </t>
  </si>
  <si>
    <t>name</t>
  </si>
  <si>
    <t>P: Демография</t>
  </si>
  <si>
    <t>Реализован комплекс мер экономической поддержки компаний, продукция которых имеет статус телекоммуникационного и кабельного оборудования российского происхождения, в том числе льготного кредитования покупателей такой продукции и снижения таможенных пошлин на компоненты, не производимые на территории Российской Федерации</t>
  </si>
  <si>
    <t>1. Минпромторгом России совместно с Минкомсвязью России создан и опубликован либо в виде самостоятельного реестра, либо в виде части существующих реестров отечественного оборудования Реестр инженерного оборудования для инфраструктуры хранения и обработки данных, построения сетей 5G/IMT-2020, телекоммуникационного оборудования для узкополосных беспроводных сетей связи "Интернета вещей" и иных мероприятий с целью создания и построения информационной инфраструктуры. 2. Разработан и реализован комплекс мер экономической поддержки компаний, продукция которых имеет статус телекоммуникационного и кабельного оборудования российского происхождения, в том числе льготного кредитования покупателей такой продукции и снижения таможенных пошлин на компоненты, не производимые на территории Российской Федерации.3. Проведена оценка производственного потенциала отечественной промышленности по производству инженерного оборудования для реализации мероприятий федерального проекта "Информационная инфраструктура" национальной программы "Цифровая экономика" с целью создания и построения информационной инфраструктуры.4. Утвержден План по организации производства и внедрения отечественного оборудования в рамках реализации мероприятий федерального проекта "Информационная инфраструктура" национальной программы "Цифровая экономика".</t>
  </si>
  <si>
    <t>N: Здравоохранение</t>
  </si>
  <si>
    <t>E: Образование</t>
  </si>
  <si>
    <t>F: Жилье и городская среда</t>
  </si>
  <si>
    <t>G: Экология</t>
  </si>
  <si>
    <t>R: БКД</t>
  </si>
  <si>
    <t xml:space="preserve">Реализован механизм субсидирования процентных ставок по кредитам для субъектов МСП – участников национального проекта с учетом дополнительных критериев по росту производительности труда, на реализацию проектов по повышению производительности труда в приоритетных отраслях по льготной ставке (выдача кредитов с 2019 года, оценка востребованности и эффективности использования льготных кредитов, по итогам которой принято решение о целесообразности расширения данной программы - в 2021 году)
</t>
  </si>
  <si>
    <t>Правилами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 предусмотрена выдача кредитов предприятиям - участникам национального проекта на цели повышения производительности труда</t>
  </si>
  <si>
    <t>L: Производительность труда</t>
  </si>
  <si>
    <t>S: Наука</t>
  </si>
  <si>
    <t>D: Цифровая экономика</t>
  </si>
  <si>
    <t>A: Культура</t>
  </si>
  <si>
    <t>I: МСП</t>
  </si>
  <si>
    <t>T: Экспорт</t>
  </si>
  <si>
    <t>связь ФП и ГП  через ФП "Гос. Поддержка малого и среднего предринимательства" НП "Малое и среднее предпринимательство и поддержка индивидуальной предпринимательской инициативы"</t>
  </si>
  <si>
    <t>V: Инфраструктура</t>
  </si>
  <si>
    <t xml:space="preserve">Дополнены показателями по производительности труда условия предоставления мер государственной поддержки
</t>
  </si>
  <si>
    <t>В соответствии с решением проектного комитета по национальному проекту осуществлена приоритезация мер государственной поддержки с учетом критериев производительности труда</t>
  </si>
  <si>
    <t xml:space="preserve">инструмент </t>
  </si>
  <si>
    <t>Реализованы пилотные проекты по созданию сетей связи 5G в Российской Федерации в 5 отраслях экономки, в том числе на территории не менее 1 города с населением более 1 млн. человек</t>
  </si>
  <si>
    <t xml:space="preserve">Количество субъектов Российской Федерации, участвующих в предоставлении налоговых преференций предприятиям для стимулирования роста производительности труда, ед
</t>
  </si>
  <si>
    <t xml:space="preserve">Подготовлены предложения по проведению пилотных проектов, включая описание прилагаемых мер налогового стимулирования, направленных на стимулирование внедрения передовых управленческих, организационных и технологических решений для
повышения производительности труда, и план реализации, а
также проведен анализ результатов пилотных проектов по стимулированию внедрения передовых управленческих,
организационных и технологических решений для повышения производительности труда и модернизации основных
фондов посредством налоговых префиренций. Отчет представлен на заседании Проектного комитета
</t>
  </si>
  <si>
    <t>A1: Культурная среда</t>
  </si>
  <si>
    <t>A2: Творческие люди</t>
  </si>
  <si>
    <t>A3: Цифровая культура</t>
  </si>
  <si>
    <t>D1: Регулирование цифровой среды</t>
  </si>
  <si>
    <t>D2: Информационная инфраструктура</t>
  </si>
  <si>
    <t>D3</t>
  </si>
  <si>
    <t>D3: Кадры для ЦЭ</t>
  </si>
  <si>
    <t>D4</t>
  </si>
  <si>
    <t>D4: Информационная безопасность</t>
  </si>
  <si>
    <t>D5</t>
  </si>
  <si>
    <t>D5: Цифровые технологии</t>
  </si>
  <si>
    <t>D6</t>
  </si>
  <si>
    <t>D6: Цифровое ГУ</t>
  </si>
  <si>
    <t>129</t>
  </si>
  <si>
    <t>129: Искусственный интеллект</t>
  </si>
  <si>
    <t>E1</t>
  </si>
  <si>
    <t>E1: Современная школа</t>
  </si>
  <si>
    <t>E2</t>
  </si>
  <si>
    <t>E2: Успех каждого ребенка</t>
  </si>
  <si>
    <t>E3</t>
  </si>
  <si>
    <t>E3: Поддержка семей</t>
  </si>
  <si>
    <t>E4</t>
  </si>
  <si>
    <t>E4: Цифровая образовательная среда</t>
  </si>
  <si>
    <t>E5</t>
  </si>
  <si>
    <t>E5: Учитель будущего</t>
  </si>
  <si>
    <t>E6</t>
  </si>
  <si>
    <t>E6: Молодые профессионалы</t>
  </si>
  <si>
    <t>E7</t>
  </si>
  <si>
    <t>E7: Новые возможности для каждого</t>
  </si>
  <si>
    <t>E8</t>
  </si>
  <si>
    <t>E8: Социальная активность</t>
  </si>
  <si>
    <t>E9</t>
  </si>
  <si>
    <t xml:space="preserve">Подготовлен комплекс мер по нефинансовому стимулированию внедрения передовых управленческих, организационных и технологических решений для повышения производительности труда и модернизации основных фондов ( в том числе система национальных конкурсов; рейтинги по производительности труда субъектов Российской Федерации, отраслей, компаний; индивидуальные конкурсы по производительности труда; включение производительности труда в движение по волонтерству и наставничеству; знаки отличия по производительности и другие мероприятия)
</t>
  </si>
  <si>
    <t>E9: Экспорт образования</t>
  </si>
  <si>
    <t>EА</t>
  </si>
  <si>
    <t>EА: Социальные лифты для каждого</t>
  </si>
  <si>
    <t>Разработана система нефинансовой мотивации предприятий к участию в национальном проекте, включая публичные мероприятия,
вручение премий и наград для предприятий, руководящих сотрудников и работников</t>
  </si>
  <si>
    <t>F2</t>
  </si>
  <si>
    <t>F2: Жилье</t>
  </si>
  <si>
    <t>F3</t>
  </si>
  <si>
    <t>F3: Городская среда</t>
  </si>
  <si>
    <t>F4</t>
  </si>
  <si>
    <t>F4: Ветхое жилье</t>
  </si>
  <si>
    <t>F1</t>
  </si>
  <si>
    <t>F1: Ипотека</t>
  </si>
  <si>
    <t>G1</t>
  </si>
  <si>
    <t>G1: Чистая страна</t>
  </si>
  <si>
    <t>G2</t>
  </si>
  <si>
    <t>G2: Система ТКО</t>
  </si>
  <si>
    <t>G3</t>
  </si>
  <si>
    <t>G3: Инфраструктура ТКО</t>
  </si>
  <si>
    <t>G4</t>
  </si>
  <si>
    <t>G4: Чистый воздух</t>
  </si>
  <si>
    <t>G5</t>
  </si>
  <si>
    <t>G5: Чистая вода</t>
  </si>
  <si>
    <t>G6</t>
  </si>
  <si>
    <t>G6: Оздоровление Волги</t>
  </si>
  <si>
    <t>G7</t>
  </si>
  <si>
    <t>G7: Сохранение озера Байкал</t>
  </si>
  <si>
    <t>G8</t>
  </si>
  <si>
    <t>G8: Сохранение уникальных водных объектов</t>
  </si>
  <si>
    <t>G9</t>
  </si>
  <si>
    <t>G9: Экотуризм</t>
  </si>
  <si>
    <t>GА</t>
  </si>
  <si>
    <t>GА: Сохранение лесов</t>
  </si>
  <si>
    <t>GВ</t>
  </si>
  <si>
    <t>GВ: Внедрение наилучших доступных технологий</t>
  </si>
  <si>
    <t>I1: Улучшение условий для МСП</t>
  </si>
  <si>
    <t>I2</t>
  </si>
  <si>
    <t>I2: Доступ МСП к финансовым ресурсам</t>
  </si>
  <si>
    <t>I3</t>
  </si>
  <si>
    <t>I3: Акселерация МСП</t>
  </si>
  <si>
    <t>I4: Поддержка фермеров</t>
  </si>
  <si>
    <t>I5: Популяризация предпринимательства</t>
  </si>
  <si>
    <t>L1: Меры по повышению производительности труда</t>
  </si>
  <si>
    <t>L2</t>
  </si>
  <si>
    <t>L2: Адресная поддержка производительности труда</t>
  </si>
  <si>
    <t>L3</t>
  </si>
  <si>
    <t>L3: Поддержка занятости</t>
  </si>
  <si>
    <t>N1</t>
  </si>
  <si>
    <t>N1: Медико-санитарная помощь</t>
  </si>
  <si>
    <t>N2</t>
  </si>
  <si>
    <t>N2: Борьба с сердечно-сосудистыми заболеваниями</t>
  </si>
  <si>
    <t>N3</t>
  </si>
  <si>
    <t>N3: Борьба с онкологией</t>
  </si>
  <si>
    <t>N4</t>
  </si>
  <si>
    <t>N4: Развитие детского здравоохранения</t>
  </si>
  <si>
    <t>N5</t>
  </si>
  <si>
    <t>N5: Кадры для здравоохранения</t>
  </si>
  <si>
    <t xml:space="preserve">Проведен сравнительный анализ российской и зарубежной регуляторной среды с точки зрения негативного влияния на производительность труда с целью выявления основных возможностей снижения административно-регуляторных издержек в сферах промышленной безопасности, трудового законодательства, технического регулирования, а также в базовых несырьевых отраслях
</t>
  </si>
  <si>
    <t>N6</t>
  </si>
  <si>
    <t>N6: Медицинские исследовательские центры</t>
  </si>
  <si>
    <t>Проведена научно-исследовательская работа с целью выявления возможности снижения административно- регуляторных издержек в
сферах промышленной безопасности, трудовом законодательстве и техническом регулировании, торговле и сельском хозяйстве</t>
  </si>
  <si>
    <t>N7</t>
  </si>
  <si>
    <t>N7: ЕГИСЗ (здравоохранение)</t>
  </si>
  <si>
    <t>N8</t>
  </si>
  <si>
    <t>N8: Экспорт медицинских услуг</t>
  </si>
  <si>
    <t>P1</t>
  </si>
  <si>
    <t>P1: Поддержка семей при рождении детей</t>
  </si>
  <si>
    <t>P2</t>
  </si>
  <si>
    <t xml:space="preserve">P2: Содействие занятости женщин </t>
  </si>
  <si>
    <t>P3</t>
  </si>
  <si>
    <t>P3: Старшее поколение</t>
  </si>
  <si>
    <t>P4</t>
  </si>
  <si>
    <t>связь ФП и ГП через ЭБ</t>
  </si>
  <si>
    <t>P4: Укрепление общественного здоровья</t>
  </si>
  <si>
    <t>P5</t>
  </si>
  <si>
    <t>P5: Спорт - норма жизни</t>
  </si>
  <si>
    <t>R1</t>
  </si>
  <si>
    <t>R1: Дорожная сеть</t>
  </si>
  <si>
    <t>R2</t>
  </si>
  <si>
    <t>R2: Дороги</t>
  </si>
  <si>
    <t>R3</t>
  </si>
  <si>
    <t>R3: Безопасность дорожного движения</t>
  </si>
  <si>
    <t>R4</t>
  </si>
  <si>
    <t>R4: Дороги Минобороны России</t>
  </si>
  <si>
    <t>S1</t>
  </si>
  <si>
    <t>S1: Научно-производственная кооперация</t>
  </si>
  <si>
    <t>S2</t>
  </si>
  <si>
    <t>S2: Развитие исследований</t>
  </si>
  <si>
    <t>S3</t>
  </si>
  <si>
    <t>S3: Кадры для исследований</t>
  </si>
  <si>
    <t>T1</t>
  </si>
  <si>
    <t>T1: Промышленный экспорт</t>
  </si>
  <si>
    <t>Реализованы пилотные проекты по построению узкополосных беспроводных сетей связи «Интернета вещей» в 5 отраслях экономики на территории Российской Федерации в соответствии с утвержденной Концепцией построения и развития узкополосных беспроводных сетей связи «Интернета вещей» на территории Россий Федерации</t>
  </si>
  <si>
    <t>T2</t>
  </si>
  <si>
    <t>T2: Экспорт продукции АПК</t>
  </si>
  <si>
    <t>​В Правительство Российской Федерации Минкомсвязью
 России представлен доклад о реализации пилотных проектов в 5 ключевых отраслях
 экономики</t>
  </si>
  <si>
    <t>T3</t>
  </si>
  <si>
    <t>T3: Логистика международной торговли</t>
  </si>
  <si>
    <t>T4</t>
  </si>
  <si>
    <t>T4: Экспорт услуг</t>
  </si>
  <si>
    <t>T5</t>
  </si>
  <si>
    <t>T5: Экспорт</t>
  </si>
  <si>
    <t>V1</t>
  </si>
  <si>
    <t>V1: Европа - Западный Китай</t>
  </si>
  <si>
    <t>V2</t>
  </si>
  <si>
    <t>V2: Морские порты России</t>
  </si>
  <si>
    <t>V3</t>
  </si>
  <si>
    <t>V3: Северный морской путь</t>
  </si>
  <si>
    <t>V4</t>
  </si>
  <si>
    <t>V4: Железнодорожный транспорт</t>
  </si>
  <si>
    <t>V5</t>
  </si>
  <si>
    <t>V5: Транспортно-логистические центры</t>
  </si>
  <si>
    <t>V6</t>
  </si>
  <si>
    <t>V6: Центры экономического роста</t>
  </si>
  <si>
    <t>V7</t>
  </si>
  <si>
    <t>V7: Региональные аэропорты</t>
  </si>
  <si>
    <t>V8</t>
  </si>
  <si>
    <t>1390411155L100200241</t>
  </si>
  <si>
    <t>V8: Высокоскоростное жд</t>
  </si>
  <si>
    <t>V9</t>
  </si>
  <si>
    <t xml:space="preserve">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менее (нарастающим итогом):
</t>
  </si>
  <si>
    <t>V9: Внутренние водные пути</t>
  </si>
  <si>
    <t>Проведен анализ, полученных от субъектов предпринимательской и иной экономической деятельности предложений по совершенствованию нормативного правового регулирования влияющего на производительность труда. По результатам анализа
сформирован соответствующий перечень предложений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t>
  </si>
  <si>
    <t>VA</t>
  </si>
  <si>
    <t>VA: Электроэнергия</t>
  </si>
  <si>
    <t>VБ</t>
  </si>
  <si>
    <t>VБ: Транспорт нефти и газа</t>
  </si>
  <si>
    <t xml:space="preserve">Профессиональная переподготовка 19,4 тысячи управленческих кадров, вовлеченных в реализацию национального проекта (нарастающим итогом).
</t>
  </si>
  <si>
    <t>За период с 2019 по 2024 гг. профессиональную переподготовку пройдут 19,4 тысячи руководителей предприятий – участников национального проекта, а также руководителей служб занятости населения и других организаций. (3,2 в 2019 году, 6,5 в 2020 году, 9,7 в 2021 году, 12,9 в 2022 году, 16,1 в 2023 году, 19,4 в 2024 году). Минэкономразвития России совместно с всероссийской академией внешней торговли Минэкономразвития России сформирована программа дополнительного профессионального образования для высших учебных заведений, направленная на обучение управлению в условиях масштабных организационных трансформаций, внедрения организационных и технологических инноваций, а также подготовку кадров в сфере производительности труда, обладающих навыками</t>
  </si>
  <si>
    <t>1390705157L100100612</t>
  </si>
  <si>
    <t>Установлен приоритет телекоммуникационного и кабельного оборудования российского происхождения при осуществлении закупок отдельными видами юридических лиц, а также при предоставлении услуг связи государственным органам и органам местного самоуправления, государственным корпорациям и организациям, в уставном капитале которых доля Российской Федерации превышает 50%</t>
  </si>
  <si>
    <t xml:space="preserve">Подписаны меморандумы о взаимодействии со странами - лидерами в области повышения производительности труда
</t>
  </si>
  <si>
    <t>Подписано не менее одного соглашения со странами- лидерами в области повышения производительности труда ежегодно, в котором
обозначены мероприятия в области проведения обучающих семинаров, международных стажировок и конференций, программ экспертной поддержки</t>
  </si>
  <si>
    <t>01: Здравоохранение</t>
  </si>
  <si>
    <t>02: Образование</t>
  </si>
  <si>
    <t>03: Соцподдержка</t>
  </si>
  <si>
    <t>04: Доступная среда</t>
  </si>
  <si>
    <t>05: Жилье</t>
  </si>
  <si>
    <t>07: Занятость</t>
  </si>
  <si>
    <t>08: Общественный порядок</t>
  </si>
  <si>
    <t>10: ЧС и пожарная безопасность</t>
  </si>
  <si>
    <t>11: Культура</t>
  </si>
  <si>
    <t>12: Охрана окружающей среды</t>
  </si>
  <si>
    <t>13</t>
  </si>
  <si>
    <t>13: Физкультура и спорт</t>
  </si>
  <si>
    <t>15: Экономическое развитие и инновационная экономика</t>
  </si>
  <si>
    <t>16</t>
  </si>
  <si>
    <t>16: Промышленность и ее конкурентноспособность</t>
  </si>
  <si>
    <t>17</t>
  </si>
  <si>
    <t>17: Авиапромышленность</t>
  </si>
  <si>
    <t>18</t>
  </si>
  <si>
    <t>18: Судостроение</t>
  </si>
  <si>
    <t>19</t>
  </si>
  <si>
    <t>19: Электронная и радиоэлектронная промышленность</t>
  </si>
  <si>
    <t>20</t>
  </si>
  <si>
    <t>20: Фармацевтическая и медпромышленность</t>
  </si>
  <si>
    <t>21: Космос</t>
  </si>
  <si>
    <t>22</t>
  </si>
  <si>
    <t>22: Атомный энергокомплекс</t>
  </si>
  <si>
    <t xml:space="preserve">Проведены международные стажировки для сотрудников предприятий - участников национального проекта
</t>
  </si>
  <si>
    <t>23: Инфообщество</t>
  </si>
  <si>
    <t>Проводится ежегодное обучение не менее 300 сотрудников
предприятий - участников национального проекта на площадках международных предприятий - лидеров в области производительности труда</t>
  </si>
  <si>
    <t>24</t>
  </si>
  <si>
    <t>24: Транспортная система</t>
  </si>
  <si>
    <t>25</t>
  </si>
  <si>
    <t>25: Сельское хозяйство</t>
  </si>
  <si>
    <t>26</t>
  </si>
  <si>
    <t>26: Рыбкомплекс</t>
  </si>
  <si>
    <t>27</t>
  </si>
  <si>
    <t>27: Внешнеэкономическая деятельность</t>
  </si>
  <si>
    <t>28</t>
  </si>
  <si>
    <t>28: Использование природных ресурсов</t>
  </si>
  <si>
    <t>29</t>
  </si>
  <si>
    <t>29: Лесное хозяйство</t>
  </si>
  <si>
    <t>30</t>
  </si>
  <si>
    <t>30: Энергетика</t>
  </si>
  <si>
    <t>31</t>
  </si>
  <si>
    <t>31: Обороноспособность</t>
  </si>
  <si>
    <t>32</t>
  </si>
  <si>
    <t>32: Госбезопасноть</t>
  </si>
  <si>
    <t>34</t>
  </si>
  <si>
    <t>34: Соц-экономическое развитие ДФО</t>
  </si>
  <si>
    <t>35</t>
  </si>
  <si>
    <t>35: Развитие СКФО</t>
  </si>
  <si>
    <t>36</t>
  </si>
  <si>
    <t>36: Развитие федотношений и эффективное управление финансами</t>
  </si>
  <si>
    <t>37</t>
  </si>
  <si>
    <t>37: Соц-экономическое развитие Калининградской области</t>
  </si>
  <si>
    <t>39</t>
  </si>
  <si>
    <t>39: Управление госфинансами и регулирование финансовых рынков</t>
  </si>
  <si>
    <t>41</t>
  </si>
  <si>
    <t>41: Внешнеполитическая деятельность</t>
  </si>
  <si>
    <t>42</t>
  </si>
  <si>
    <t>42: Юстиция</t>
  </si>
  <si>
    <t>43</t>
  </si>
  <si>
    <t>43: Соц-экономическое развитие арктической зоны РФ</t>
  </si>
  <si>
    <t>44</t>
  </si>
  <si>
    <t>44: Развитие оборонно-промышленного комплекса</t>
  </si>
  <si>
    <t>45</t>
  </si>
  <si>
    <t>45: Соц-экономическое развитие Республики Крым и г Севастополя</t>
  </si>
  <si>
    <t>46</t>
  </si>
  <si>
    <t>46: Нацполитика</t>
  </si>
  <si>
    <t>47</t>
  </si>
  <si>
    <t>47: НТР РФ</t>
  </si>
  <si>
    <t xml:space="preserve">Проведены программы экспертной поддержки предприятий - участников с привлечением международных партнеров
</t>
  </si>
  <si>
    <t>48</t>
  </si>
  <si>
    <t>Разработан перечень техники, технологий и оборудования, включая кабельное, а также производственных решений, необходимых для реализации федерального проекта «Информационная инфраструктура»</t>
  </si>
  <si>
    <t>На предприятиях - участниках национального проекта, реализующих проект самостоятельно, ежегодно проводится не менее одной программы технического аудита с привлечением международных экспертов в области производительности аудита</t>
  </si>
  <si>
    <t>48: Сельские территории</t>
  </si>
  <si>
    <t>49</t>
  </si>
  <si>
    <t>49: Материальный резерв</t>
  </si>
  <si>
    <t>​Минпромторгом России по согласованию с Минкомсвязью
 России утверждён перечень техники, технологий и оборудования,
 включая кабельное, а также производственных решений, необходимых для реализации
 федерального проекта «Информационная инфраструктура»</t>
  </si>
  <si>
    <t xml:space="preserve">Методология расчета показателей производительности труда, разработанная в рамках приоритетной программы, доработана для целей национального проекта (в разрезе субъектов Российской Федерации, отраслей, предприятий)
</t>
  </si>
  <si>
    <t>Разработан единый согласованный подход к расчету производительности труда в разрезе отраслей, предприятий и
субъектов Российской Федерации для целей национального проекта</t>
  </si>
  <si>
    <t>5.1</t>
  </si>
  <si>
    <t xml:space="preserve">Методика расчета показателей производительности труда утверждена нормативным правовым актом Минэкономразвития России
</t>
  </si>
  <si>
    <t>Принят нормативный правовой акт Минэкономразвития России,
определяющий методику расчета производительности
труда в целях реализации
национального проекта</t>
  </si>
  <si>
    <t>Созданы и функционируют информационные системы информатизации деятельности по регистрации и охране прав на объекты интеллектуальной собственности</t>
  </si>
  <si>
    <t>Создание информационных систем информатизации деятельности по регистрации и охране прав на объекты интеллектуальной собственности</t>
  </si>
  <si>
    <t xml:space="preserve">Предприятиям - участникам национального проекта оказана акселерационная поддержка по развитию экспортного потенциала
</t>
  </si>
  <si>
    <t>С 2019 по 2024 годы 2 850 предприятий - участников национального проекта прошли обучение по программе поддержки развития
экспортного потенциала (экспортного акселератора).
АО «Российский экспортный центр» совместно с Минэкономразвития России отобрали и подготовили 40
экспертов для последующего масштабирования программы
поддержки развития экспортного потенциала предприятий - участников национального проекта (экспортный акселератор)</t>
  </si>
  <si>
    <t>6.1</t>
  </si>
  <si>
    <t>69.9</t>
  </si>
  <si>
    <t>84.7</t>
  </si>
  <si>
    <t>89.9</t>
  </si>
  <si>
    <t>111.1</t>
  </si>
  <si>
    <t>141.4</t>
  </si>
  <si>
    <t>1390412157L168852811</t>
  </si>
  <si>
    <t xml:space="preserve">Разработана и проведена программа по поддержке внедрения автоматизации и использования цифровых технологий. Количество предприятий, прошедших программу
</t>
  </si>
  <si>
    <t xml:space="preserve">Определены подходы и методы  поддержки внедрения автоматизации и использования цифровых технологий для
предприятий -участников национального проекта;
отобраны предприятия для проведения пилотной
программы внедрения автоматизации и использования
цифровых технологий </t>
  </si>
  <si>
    <t>7.1</t>
  </si>
  <si>
    <t>Создана цифровая унифицированная платформа жилищно-коммунального комплекса для инвентаризации, учёта и контроля оказания коммунальных услуг, состояния всех видов энергоресурсов, включая технологии сбора данных посредством Интернета вещей, состояния имущественных комплексов для целей повышения качества и расширения спектра оказываемых дополнительных услуг жильцам многоквартирных жилых домов</t>
  </si>
  <si>
    <t>​1. Создана и внедрена цифровая унифицированная платформа жилищно-коммунального комплекса обеспечивающая автоматизацию деятельности связанной с управлением многоквартирными домами включая системы сбора данных о потребленных ресурсах (в автоматическом режиме с приборов учета, используя технологии сбора данных посредством Интернета вещей), состояния коммунального хозяйства (включая общедомовые системы обеспечения ресурсами, вспомогательные системы, аварийные системы, системы безопасности и оповещения, используя технологии сбора данных посредством Интернета вещей);контроля состояния имущественного комплекса для целей повышения качества и расширения спектра оказываемых дополнительных услуг жильцам многоквартирных жилых домов, в части доступности к информации по ЖКУ и обеспечивающие доведение в электронной форме информации о представлении, количестве и стоимости коммунальных услуг; внедрены цифровые сервисы и технологии, в обязательном порядке с использованием мобильного доступа, повышающие комфорт потребителей при оказании услуг ЖКХ. 2. Нормативно закреплены обязанности устанавливать новые приборы учёта потреблённых ресурсов с беспроводными модулями для сбора и передачи информации при новом строительстве, а также приняты меры по стимулированию замены уже существующих приборов учёта потреблённых ресурсов на приборы учёта, имеющие беспроводные модули сбора и передачи данных, закреплены обязанности управляющих компаний создавать личные кабинеты (в том числе в форме приложений) для взаимодействия с жильцами и иные формы дистанционного взаимодействия; установление требований к личным кабинетами и закреплению обязанности управляющих компаний по проведению онлайн-голосования участников общего собрания собственников жилья.</t>
  </si>
  <si>
    <t xml:space="preserve">Разработан порядок распределения грантов между субъектами Российской Федерации для обеспечения работы по росту производительности труда, включающий в себя целевые показатели и индикаторы производительности труда для отбора субъектов Российской Федерации в целях получения грантов, а также правила использования полученных субъектами Российской Федерации грантов для целей дальнейшего роста производительности труда
</t>
  </si>
  <si>
    <t>В ДПР внесены изменения по включению мероприятий,
направленных на повышение производительности труда в
государственных компаниях и компаниях с государственным
участием. Утверждены целевые показатели роста
производительности</t>
  </si>
  <si>
    <t>8.1</t>
  </si>
  <si>
    <t>Разработаны и функционируют новые сервисы ФГИС ЕГРН в части технологий «искусственный интеллект», «большие данные» и «роботизация»</t>
  </si>
  <si>
    <t>​1. Разработан функционал ФГИС ЕГРН по автоматизации с применением технологий распознавания сканированных документов при помощи технологии "машинное обучение".2. Разработан функционал ФГИС ЕГРН по интеллектуальному сопровождению учётно-регистрационных действий, включающий в себя ведение и отображение справочной статистической информации о схожей практике осуществления учётно-регистрационных действий, а также формирование аналитических срезов для обнаружения потенциально "роботизируемых" учётно-регистрационных действий, основанному на технологиях "большие данные" и "машинное обучение".3. Разработан функционал ФГИС ЕГРН по минимизации влияния "человеческого фактора" при осуществлении учетно-регистрационных действий и типовых процессов с последующим самообучением системы и валидацией государственным регистратором юридически значимого действия.</t>
  </si>
  <si>
    <t>Определены условия и источники финансирования проекта Глобальной многофункциональной инфокоммуникационной спутниковой системы (ГМИСС) (составной части проекта «Сфера»)</t>
  </si>
  <si>
    <t>Конец Федеральнй проект L1 "Системные меры по повышению производительности труда"</t>
  </si>
  <si>
    <t>Реализация дорожной карты, в том числе реализация стадии проектирования проекта ГМИСС</t>
  </si>
  <si>
    <t>Создана Глобальная многофункциональная инфокоммуникационная спутниковая системаВ рамкахисполнения мероприятийбудут достигнуты следующие результаты:В 2020 году будет реализована первая стадия проектирования проекта ГМИССВ 2021 году будет реализована вторая (заключительная) стадия проектирования проекта ГМИССРеализация дорожной карты построенияГлобальной многофункциональной инфокоммуникационной спутниковой системы в период с 2021 по 2024 гг.</t>
  </si>
  <si>
    <t>Начало федерального проекта L2</t>
  </si>
  <si>
    <t>Нормативно определены требования по использованию государственной единой облачной платформы органами государственной власти и местного самоуправления, и утвержден план перевода информационных систем и информационных ресурсов органов государственной власти и местного самоуправления в государственную единую облачную платформу</t>
  </si>
  <si>
    <t>Утвержден план перевода государственных информационных систем и информационных ресурсов в государственную единую облачную платформу</t>
  </si>
  <si>
    <t>Созданы потоки-образцы (оптимизированы производственные/вспомогательные процессы) на предприятиях - участниках национального проекта под федеральным управлением (совместно с экспертами ФЦК) на базе сформированной инфраструктуры для развития производственной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t>
  </si>
  <si>
    <t xml:space="preserve">Созданы потоки -образцы по результатам оптимизации процесса (пилотного потока), успешно реализованы запланированные мероприятия, позволившие достичь установленных результатов в части сокращения времени протекания процесса, сокращения запасов в потоке, повышения выработки в потоке.
На основании заявок от предприятий – участников национального проекта экспертами ФЦК проведены оценки наличия ключевых элементов производственной системы и достаточного уровня использования внутренних ресурсов. Положительные заключения ФЦК позволят предприятиям получить займы ФРП.
Предприятия - участники национального проекта положительно оценивают работу экспертов ФЦК.
Информационная поддержка проекта , включая проведение семинаров и конференций федерального и регионального уровня, организация спецпроектов по продвижению федерального проекта «Адресная поддержка повышения производительности труда на предприятиях » национального проекта «Производительность труда и поддержка  занятости», освещение хода реализации проекта в федеральных и региональных средствах массовой информации, а также разработанные типовые (коробочные) решения и отчеты по анализу лучших российских и зарубежных практик по повышению производительности труда с учетом отраслевой специфики способствуют более широкой осведомленности предприятий целевой группы о возможностях повышения производительности труда.
</t>
  </si>
  <si>
    <t>увязка ФП с ГП из ЭБ</t>
  </si>
  <si>
    <t>Повышение производительности труда должно обеспечить благоприятные условия для социально-экономического развития субъектов РФ</t>
  </si>
  <si>
    <t>1 955,99</t>
  </si>
  <si>
    <t>0412 15 5 L2 68501</t>
  </si>
  <si>
    <t>Обеспечение подготовки высококвалифицированных кадров для цифровой экономики</t>
  </si>
  <si>
    <t>Проведено обучение сотрудников предприятий - участников национального проекта под федеральным управлением (совместно с экспертами ФЦК) и сотрудников предприятий, внедряющих мероприятия национального проекта самостоятельно, сотрудников региональных центров компетенций, а также сотрудников региональных и федеральных органов управления посредством специализированных тренингов, тестирований, программ обучения, направленных на повышение производительности труда</t>
  </si>
  <si>
    <t>Разработаны концепция базовой модели компетенций цифровой экономики, перечень ключевых компетенций и механизм их актуализации</t>
  </si>
  <si>
    <t>Экспертами ФЦК обучены сотрудники предприятий, внедряющих мероприятия национального проекта под федеральным управлением (с экспертами ФЦК, всего 2175 предприятий к 2024 г.). За счет обучения сотрудников предприятий участников национального проекта (участники рабочих групп по потокам - образцам, сотрудники проектных офисов по внедрению инструментов повышения производительности труда и бережливого производства, руководство предприятий) и распространения знаний и навыков  обеспечены устойчивые изменения на предприятиях в части повышения эффективности процессов и роста производительности туда. К 2024 году на 95% предприятиях, вовлеченных в национальный проект, прирост производительности труда составит 10%, 15%, 30% нарастающим итогом за первые три года участия в национальном проекте, в том числе за счет успешного тиражирования полученных знаний и опыта обученными  сотрудниками предприятий.
Для того чтобы на предприятии были собственные ресурсы для обучения сотрудников методам повышения производительности труда с использованием инструментов бережливого производства, ФЦК реализует программу подготовки внутренних тренеров (для предприятий, внедряющих мероприятия проекта под федеральным управлением) по бережливому производству. Внутренний тренер сотрудник предприятия, прошедший отбор и подготовку по программам ФЦК. Наличие внутренних тренеров позволяет предприятию тиражировать полученные знания, умения и опыт на другие производственные потоки</t>
  </si>
  <si>
    <t xml:space="preserve">Для того чтобы на предприятии были собственные ресурсы для обучения сотрудников методам повышения производительности труда с использованием инструментов бережливого производства, ФЦК реализует программу подготовки внутренних тренеров (для предприятий, внедряющих мероприятия проекта под федеральным управлением) по бережливому производству. Внутренний тренер сотрудник предприятия, прошедший отбор и подготовку по программам ФЦК. Наличие внутренних тренеров позволяет предприятию тиражировать полученные знания, умения и опыт на другие производственные потокиблагодаря обучению сотрудников.
Предприятия, внедряющие мероприятия национального проекта самостоятельно (всего 4080 предприятий к 2024 г.), также направляют своих сотрудников для обучения инструментам повышения производительности труда в ФЦК. Обучение может проводиться как в очной форме, так и дистанционно (благодаря созданной ИТ-платформе).
В субъектах Российской Федерации - участниках национального проекта при поддержке ФЦК созданы РЦК для возможности тиражирования положительного опыта и подходов по повышению производительности труда на региональном уровне. ФЦК оказывает субъектам Российской Федерации поддержку при создании РЦК в части проведения отбора, обучения и оценки знаний и навыков сотрудников РЦК, необходимых для самостоятельной реализации проектов на предприятиях. Создание РЦК в субъектах Российской Федерации гарантирует достижение цели национального проекта по охвату 10 000 предприятий, а также гарантирует устойчивый рост производительности труда на предприятиях в субъектах Российской ФедерациЭкспертами ФЦК разработаны и переданы в РЦК и внутренним тренерам предприятий - участников национального проекта не менее 12 универсальных, практико-ориентированных обучающих методик, влияющих на повышение производительности трудаи. 
</t>
  </si>
  <si>
    <t>Создан венчурный фонд для поддержки перспективных образовательных технологий цифровой экономики</t>
  </si>
  <si>
    <t>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цифровой экономики, создаваемого в форме инвестиционного товарищества.</t>
  </si>
  <si>
    <t>Создана информационная платформа, обеспечено ее развитие и наполнение для обеспечения взаимодействия в сферах повышения производительности труда и тиражирования лучших российских, международных практик</t>
  </si>
  <si>
    <t>Введена в эксплуатацию ИТплатформа управленческих и технологических компетенций в сфере производительности труда (далее - ИТ-платформа), способствующая распространению знаний по повышению производительности труда. Базовый функционал ИТплатформы включает в себя:
   блок "База знаний" (включая практические руководства, различные материалы и курсы по производительности труда, типовые решения по повышению производительности труда, решения/отчеты по анализу лучших российских и практик);
   блок "Экспресс диагностика" (бенчмаркинг, инструментарий самооценки производственной системы предприятия);
   блок "Обучение" (дистанционное обучение сотрудников предприятий участников национального проекта).
ИТ-платформа используется, как инструмент тиражирования лучших российских и международных практик: на ИТ-платформе размещены материалы/курсы по производительности труда, доступные всем пользователям, не менее: 20 в 2019 году, 40 в 2020 году, 50 в 2021 году, 60 в 2022 году, 70 в 2023 году, 80 в 2024 году;
количество зарегистрированных пользователей ИТ-платформы достигло не менее, человек нарастающим итогом: 500 в 2018 году, 7 970 в 2019 году, 17 410 в 2020 году, 30 920 в 2021 году, 47 470 в 2022 году, 65 720 в 2023 году, 82 820 в 2024 году</t>
  </si>
  <si>
    <t>приложение № 1 к ГП, п. 41. Данное мероприяие рассмотрено в рамках П1.</t>
  </si>
  <si>
    <t>Проведена оценка потребности предприятий в получении сертификатов производственной системы, принято решение о целесообразности увеличения количества выдаваемых сертификатов</t>
  </si>
  <si>
    <t xml:space="preserve"> Определены цели, для достижения которых от предприятий требуется обязательное предоставление сертификатов производственной системы, на основании которых рассчитана потребность предприятий в сертификатах и проведена оценка необходимости и целесообразности увеличения количества выдаваемых сертификатов.</t>
  </si>
  <si>
    <t>Утвержден открытый формат профилей компетенций граждан, траекторий их развития и процедуры их создания</t>
  </si>
  <si>
    <t>Все мероприятия</t>
  </si>
  <si>
    <t>Привязаны к КД</t>
  </si>
  <si>
    <t>Не привязаны к КД</t>
  </si>
  <si>
    <t>Разработан и представлен на согласование Проектному комитету по национальному проекту механизм софинансирования мероприятий по повышению производительности труда на предприятиях - участниках национального проекта, в том числе с учетом привлечения частных инвестиций на финансирование деятельности РЦК. В случае принятия положительного решения получено внебюджетное финансирование</t>
  </si>
  <si>
    <t>Привязаны к высокоуровневым КД</t>
  </si>
  <si>
    <t>Индикаторы</t>
  </si>
  <si>
    <t>Инструменты</t>
  </si>
  <si>
    <t> Предложенный механизм софинансирования мероприятий по повышению производительности труда на предприятиях участниках национального проекта позволит снизить расходы федерального бюджета и расходы бюджетов субъектов Российской Федерации на функционирование ФЦК и РЦК в пределах 20%.</t>
  </si>
  <si>
    <t>Привязаны к ГП</t>
  </si>
  <si>
    <t>Неопределенность целеполагания</t>
  </si>
  <si>
    <t>Процент привязки к КД</t>
  </si>
  <si>
    <t>1 000,00</t>
  </si>
  <si>
    <t>1 200,00</t>
  </si>
  <si>
    <t xml:space="preserve"> Созданы потоки-образцы на предприятиях - участниках национального проекта под региональным управлением (совместно с экспертами региональных центров компетенций в сфере производительности труда), а также внедряющих мероприятия национального проекта самостоятельно (в том числе с привлечением консультантов), представляющие собой результат оптимизации производственных и/или вспомогательных процессов на базе сформированной инфраструктуры для развития производственной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t>
  </si>
  <si>
    <t xml:space="preserve">Созданы потоки-образцы по результатам оптимизации процесса (пилотного потока), успешно реализованы запланированные мероприятия, позволившие достичь установленных результатов в части сокращения времени протекания процесса, сокращения запасов в потоке, повышения выработки в потоке.
Результат может быть достигнут по итогам реализации следующих мероприятий:
а) Создание и обеспечение деятельности региональных центров компетенций в сфере производительности труда;
б) Привлечение консультантов для работы на предприятиях, внедряющих мероприятия по повышению производительности труда;обучение принципам и инструментам бережливого производства посредством имитации реальных производственных и вспомогательных процессов, но не более одной в субъекте Российской Федерации.
Предприятия - участники национального проекта положительно оценивают работу экспертов РЦК.
в) Создание и обеспечение деятельности «фабрики процессов», представляющей собой площадку, обеспечивающую практическоеобучение принципам и инструментам бережливого производства посредством имитации реальных производственных и вспомогательных процессов, но не более одной в субъекте Российской Федерации.
Предприятия - участники национального проекта положительно оценивают работу экспертов РЦК. </t>
  </si>
  <si>
    <t>Обеспечены нормативные и правовые условия для включения предмета «Информатика и ИКТ» в перечень обязательных вступительных испытаний при приеме на обучение по образовательным программам высшего образования в сфере информационных технологий</t>
  </si>
  <si>
    <t>139 0412 15 5 L2 52960</t>
  </si>
  <si>
    <t>Разработан порядок распределения грантов между субъектами Российской Федерации для обеспечения работы по росту производительности труда, включающий в себя целевые показатели и индикаторы производительности труда для отбора субъектов Российской Федерации в целях получения грантов, а также правила использования полученных субъектами Российской Федерации грантов для целей дальнейшего роста производительности труда</t>
  </si>
  <si>
    <t xml:space="preserve"> Принят документ, определяющий порядок работы субъектов Российской Федерации для возможности претендовать на получение грантов для обеспечения работы по производительности, включающий целевые показатели и индикаторы (количественные и качественные КПЭ), а также методики их определения. Разработаны правила использования полученных субъектами Российской Федерации грантов для целей дальнейшего роста производительности труда.</t>
  </si>
  <si>
    <t>Субъектам Российской Федерации - участникам национального проекта "Производительность труда и поддержка занятости" предоставлены гранты за достижение показателей по росту производительности труда</t>
  </si>
  <si>
    <t xml:space="preserve">  Полученные гранты позволяют субъектам Российской Федерации снизить затраты бюджетов субъектов Российской Федерации на реализацию региональных проектов (программ) в части финансирования деятельности региональных центров компетенций, а также привлечения консультантов для работы с предприятиями субъектов Российской Федерации, внедряющих мероприятия по повышению производительности труда самостоятельно. </t>
  </si>
  <si>
    <t>Определены форматы участия компаний-партнеров в реализации национального проекта (работа с поставщиками, обучение, прочее)</t>
  </si>
  <si>
    <t>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t>
  </si>
  <si>
    <t>Разработаны к концу 2024 года не менее 75 цифровых учебно-методических комплексов, учебных симуляторов, тренажеров, виртуальных лабораторий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t>
  </si>
  <si>
    <t>sum</t>
  </si>
  <si>
    <t>Заключены соглашения с не менее чем 10 компаниями - партнерами</t>
  </si>
  <si>
    <t xml:space="preserve">  Для вовлечения большего количества предприятий и достижения цели роста производительности труда на средних и крупных предприятиях базовых несырьевых отраслей на 5% к 2024 году ежегодно к реализации национального проекта привлечены не менее 10 партнеров. </t>
  </si>
  <si>
    <t>доп</t>
  </si>
  <si>
    <t>Проведено обучение сотрудников предприятий – участников национального проекта под региональным управлением (совместно с экспертами РЦК) посредством специализированных тренингов, тестирований, программ обучения, направленных на повышение производительности труда</t>
  </si>
  <si>
    <t xml:space="preserve">п. 10 Приложения № 1к паспорту федерального проекта "Адресная поддержка повышения производительности труда" </t>
  </si>
  <si>
    <t>Обеспечено развитие образовательных и научно-методических практик подготовки специалистов в сфере информационных и сквозных технологий, а также развитие международного сотрудничества, интеграция российской образовательной системы и лучших зарубежных практик за счет государственной поддержки АНО ВО «Университет Иннополис».</t>
  </si>
  <si>
    <t>В рамках данного результата: 
 будет разработано не менее 15 образовательных программ по направлениям информационных и сквозных технологий на английском языке;
 не менее 700 человек составит контингент обучающихся по образовательным программам высшего образования в сфере информационных и сквозных технологий;
 не менее 25 человек пройдут программы академической мобильности (входящий и исходящий обмен, программы двойных дипломов, совместное научное руководство PhD, стажировки и т.д.);
 Также будет обеспечено проведение научно-методической деятельности в части обеспечения проведения мониторинга качества образовательных программ подготовки студентов по направлениям и специальностям подготовки в сфере информационных технологий (ИТ) :
 не менее 10 российских университетов пройдут оценку качества программ высшего образования в сфере ИТ в соответствии с международными стандартами;
 разработаны методические рекомендации по «бесшовной» адаптации образовательных программ высшего образования к компетенциям цифровой экономики.
 Кроме того, будет обеспечена методическая поддержка подготовки школьников по ИТ с целью повышения качества приёма в университеты на образовательные программы по направлениям и специальностям в сфере ИТ:
 не менее 15 образовательных смен по направлениям цифровой экономики;
 не менее 700 участников образовательных смен, организуемых Университетом Иннополис по направлениям цифровой экономики;
 не менее 10 мероприятий (региональных, федеральных и международных олимпиад и хакатонов), проводимых Университетом Иннополис, по направлениям цифровой экономики;
 не менее 6 000 участников мероприятий (в том числе олимпиад и хакатонов), организуемых Университетом Иннополис по направлениям цифровой экономики.
 Финансовое обеспечение за счет средств федерального бюджета предполагает обеспечение расходов на достижение данного результата, а также возмещение уже ранее понесенных Университетом Иннополис расходов с 1 января 2019 г. для достижения результата.</t>
  </si>
  <si>
    <t>Окончание  федерального проекта L2</t>
  </si>
  <si>
    <t>В рамках деятельности Венчурного фонда для поддержки перспективных образовательных технологий цифровой экономики будут поддержаны 200 компаний, 
 реализующих проекты в области образовательных технологий, направленных на создание и развитие российских компаний, развивающие образовательные технологии, 
 трансфер мировых образовательных технологий в Российскую Федерацию, развитие рынка образовательных технологий. (условная единица - компания) 
 Соответствует ключевому параметру 3.9 "Создан и функционирует венчурный фонд поддержки перспективных образовательных технологий цифровой экономики".</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</si>
  <si>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созданы 15 экспериментальных площадок (накопительным итогом)</t>
  </si>
  <si>
    <t>Осуществлена к концу 2024 годагосударственная поддержка развития и распространения лучшего опыта в сфере формирования цифровых навыков​ дляне менее 1455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а также созданы 15 экспериментальных площадок (накопительным итогом)</t>
  </si>
  <si>
    <t>Начало федерального проекта I7</t>
  </si>
  <si>
    <t>На основе предварительных итогов реализуемых в настоящее время программ по развитию сельскохозяйственной кооперации в субъектах Российской Федерации Минсельхозом России совместно с АО "Корпорация "МСП" доработаны рекомендации по разработке региональных программ развития сельскохозяйственной кооперации и обеспечена разработка и реализация комплексных программ развития сельскохозяйственной кооперации в соответствии с доработанными рекомендациями во всех субъектах Российской Федерации</t>
  </si>
  <si>
    <t>Региональные программы развития сельскохозяйственной кооперации приведены в соответствие с доработанными Минсельхозом России совместно с АО "Корпорация "МСП" рекомендациями по разработке региональных программ развития сельскохозяйственной кооперации. Обеспечена реализация комплексных программ развития сельскохозяйственной кооперации в субъектах Российской Федерации</t>
  </si>
  <si>
    <t>I7</t>
  </si>
  <si>
    <t>Мероприятия направлены на поддержку и развитие сельскохозяйственной кооперации в субъектах Российской Федерации, которая осуществляется непосредственно на сельских территориях, соответственно меры осударственной поддержки направленные на ее более активное развитие будут способствовать социально-экономическому развитию сельских территорий</t>
  </si>
  <si>
    <t>Предоставлены гранты в форме субсидий на создание и поддержку функционирования организаций дополнительного образования детей и (или) детских объединений на базе школ для углубленного изучения математики и информатики (накопительным итогом)</t>
  </si>
  <si>
    <t>Определены центры компетенций в сфере сельскохозяйственной кооперации (далее - Центры) во всех субъектах Российской Федерации (за исключением г. Москвы и г. Санкт-Петербурга) в соответствии со Стандартом деятельности центров компетенций в сфере сельскохозяйственной кооперации и поддержки фермеров</t>
  </si>
  <si>
    <t>Центры в субъектах Российской Федерации определены, обеспечено их функционирование, в регионах создана комплексная система консультирования малых форм хозяйствования в сфере АПК.</t>
  </si>
  <si>
    <t>Разработаны Минсельхозом России совместно с АО "Корпорация "МСП" и утверждены Проектным комитетом по национальному проекту "Малое и среднее предпринимательство и поддержка индивидуальной предпринимательской инициативы" стандарты центров компетенций в сфере сельскохозяйственной кооперации и поддержки фермеров</t>
  </si>
  <si>
    <t>Разработан Стандарт центров компетенций в сфере сельскохозяйственной кооперации и поддержки фермеров (далее - Стандарт), включающий перечень услуг, оказываемых Центрами в целях создания и развития субъектов МСП в АПК, в том числе крестьянских (фермерских) хозяйств и сельскохозяйственных потребительских кооперативов, квалификацию персонала, необходимое техническое оснащение и т.п. Стандарт утвержден Проектным комитетом по национальному проекту "Малое и среднее предпринимательство и поддержка индивидуальной предпринимательской инициативы" и направлен в субъекты Российской Федерации для приведения деятельности Центров в соответствие с указанным Стандартом</t>
  </si>
  <si>
    <t>Утверждено постановление Правительства Российской Федерации, предусматривающее предоставление из федерального бюджета бюджетам субъектов Российской Федерации иных межбюджетных трансфертов на создание системы поддержки фермеров и развитие сельской кооперации в субъектах Российской Федерации в размере 37,368 млрд. рублей на период 2019-2024 годы</t>
  </si>
  <si>
    <t>Предоставлены иные межбюджетные трансферты субъектам Российской Федерации на создание системы поддержки фермеров и развитие сельской кооперации, включая оказание грантовой поддержки крестьянским (фермерским) хозяйствам (грант "Агростартап"), предоставление государственной поддержки сельскохозяйственным потребительским кооперативам и обеспечение деятельности и достижение показателей эффективности центров компетенций в сфере сельскохозяйственной кооперации и поддержки фермеров</t>
  </si>
  <si>
    <t>Усовершенствован комплекс мер поддержки сельскохозяйственных кооперативов и фермеров-членов сельскохозяйственной кооперативов ("коробочный" продукт), в том числе в рамках существующих мер государственной поддержки Минсельхоза России и субъектов Российской Федерации, а также существующих продуктов АО "Корпорация "МСП", АО "МСП Банк", АО "Россельхозбанк", АО "Росагролизинг" в части кредитно-гарантийной и финансовой поддержки сельскохозяйственных кооперативов и фермеров-членов сельскохозяйственных кооперативов, являющихся субъектами МСП</t>
  </si>
  <si>
    <t>Проработан вопрос усовершенствования мер поддержки, оказываемых сельскохозяйственным кооперативам и фермерамчленам сельскохозяйственных кооперативов, являющихся субъектами МСП, в том числе внесены изменения в действующие меры государственной поддержки, увеличен объем оказываемой поддержки. Утверждена новая редакция комплекса мер поддержки сельскохозяйственных кооперативов и фермеров членов сельскохозяйственных кооперативов ("коробочный продукт").</t>
  </si>
  <si>
    <t>Предоставлены гранты в форме субсидии на проведение тематических смен в сезонных лагерях для школьников по передовым направлениям дискретной математики, информатики, цифровых технологий (накопительным итогом)</t>
  </si>
  <si>
    <t>Проведено ежегодно не менее 10 мероприятий, направленных на повышение информационной открытости закупок крупнейших заказчиков у субъектов МСП - сельскохозяйственных кооперативов в целях обеспечения доступа сельскохозяйственных кооперативов к закупкам сельскохозяйственной продукции крупнейшими заказчиками</t>
  </si>
  <si>
    <t>АО "Корпорация "МСП" во взаимодействии с органами исполнительной власти субъектов Российской Федерации, Минсельхозом России, АО "МСП "Банк", крупнейшими заказчиками, закупающими сельскохозяйственную продукцию, организованы и проведены не менее 60 обучающих семинаров для субъектов МСП сельскохозяйственных кооперативов по вопросам участия в закупках крупнейших заказчиков в соответствии с Федеральным законом от 18 июля 2011 г. № 223-ФЗ "О закупках товаров, работ, услуг отдельными видами юридических лиц".</t>
  </si>
  <si>
    <t>Обеспечена организация ежегодных обучающих семинаров для центров компетенций в сфере сельскохозяйственной кооперации и поддержки фермеров</t>
  </si>
  <si>
    <t>АО "Корпорация "МСП" при взаимодействии с органами исполнительной власти субъектов Российской Федерации, Минсельхозом России, АО "МСП Банк", АО "Росагролизинг", АО "Россельхозбанк", ПАО "Сбербанк", отраслевыми союзами и ассоциациями организованы и проведены не менее 24 обучающих семинаров для центров компетенций в сфере сельскохозяйственной кооперации и поддержки фермеров.</t>
  </si>
  <si>
    <t>Разработаны предложения по пропорциональному регулированию деятельности кредитных потребительских кооперативов и сельскохозяйственных кредитных потребительских кооперативов</t>
  </si>
  <si>
    <t>Разработаны предложения по пропорциональному регулированию деятельности кредитных потребительских кооперативов и сельскохозяйственных кредитных потребительских кооперативов (СКПК) с учетом обсуждения, состоявшегося по итогам размещения для общественных консультаций доклада "Совершенствование регулирования деятельности субъектов микрофинансового рынка»</t>
  </si>
  <si>
    <t>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 (накопительным итогом)</t>
  </si>
  <si>
    <t>Разработаны 10 цифровых учебно-методических комплексов и учебных симуляторов, тренажеров, виртуальных лабораторий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 и созданы 15 экспериментальных площадок на базе общеобразовательных организаций, организаций среднего профессионального образования, образовательных организаций дополнительного образования детей по внедрению цифровых учебно-методических комплексов, учебных симуляторов, тренажеров, виртуальных лабораторий</t>
  </si>
  <si>
    <t>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t>
  </si>
  <si>
    <t>К 2024 году в результате реализации мероприятий федерального проекта "Создание системы поддержки фермеров и развитие сельской кооперации" оказана государственная поддержка крестьянским (фермерским) хозяйствам, сельскохозяйственным потребительским кооперативам</t>
  </si>
  <si>
    <t>На основе развития потребительской кооперации показано влияние семьи (домашних хозяйств) на развитие экономики сельского хозяйства, повышение уровня жизни сельского населения.    
   https://cyberleninka.ru/article/n/rol-potrebitelskoy-kooperatsii-v-povyshenii-urovnya-zhizni-selskogo-naseleniya/viewer</t>
  </si>
  <si>
    <t>5 703,72</t>
  </si>
  <si>
    <t>3 837,16</t>
  </si>
  <si>
    <t>4 609,57</t>
  </si>
  <si>
    <t>5 916,73</t>
  </si>
  <si>
    <t>9 036,46</t>
  </si>
  <si>
    <t>9 708,79</t>
  </si>
  <si>
    <t>082 0405 25 У I7 54800 523</t>
  </si>
  <si>
    <t>ОБАС                                                 В ОБАС в столбце «Наименование межбюджетного трансферта» указана задача федпроекта – «Создание системы поддержки фермеров и развитие сельской кооперации», а не результат «Количество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 с учетом его характеристики</t>
  </si>
  <si>
    <t>Предусмотрены специальные меры административной ответственности для сельскохозяйственных потребительских кооперативов, в том числе кредитных в части установления принципа соразмерности применений административных санкций в зависимости от объемов деятельности участников финансового рынка</t>
  </si>
  <si>
    <t>Внесены изменения в Кодекс Российской Федерации об административных правонарушениях в части установления специального режима административной ответственности для сельскохозяйственных кооперативов, в том числе кредитных кооперативов. В результате внесения изменений введен принцип соразмерности применения административных санкций в зависимости от объемов деятельности специфичного участника финансового рынка - сельскохозяйственного кредитного потребительского кооператива, в том числе кредитного кооператива</t>
  </si>
  <si>
    <t xml:space="preserve">1.10 из плана мероприятия </t>
  </si>
  <si>
    <t>Предоставлены гранты обучающимся общеобразовательных организаций, проявивших особые способности и высокие достижения в области математики, информатики и цифровых технологий (накопительным итогом)</t>
  </si>
  <si>
    <t>Изменен порядок регулирования деятельности сельскохозяйственных кооперативов с целью уточнения вопросов кооперативного управления, реорганизации и ликвидации кооператива, взаимодействия с ревизионными союзами и их саморегулируемыми организациями</t>
  </si>
  <si>
    <t>Внесены поправки в Федеральный закон от 8 декабря 1995 г. № 193-ФЗ "О сельскохозяйственной кооперации" в части уточнения вопросов корпоративного управления, порядка ведения реестра членов и ассоциированных членов сельскохозяйственных кооперативов, реализации и предельных размеров субсидиарной ответственности в потребительских кооперативах, порядка реорганизации и ликвидации кооперативов, реализации действенной ответственности ревизионных союзов и их саморегулируемых организаций перед кооперативами и их членами за качество ревизионной, консультационной, экспертной работы и эффективности предупредительнопрофилактических действий.</t>
  </si>
  <si>
    <t xml:space="preserve">1.11 из плана мероприятия </t>
  </si>
  <si>
    <t>Окончание  федерального проекта I7</t>
  </si>
  <si>
    <t>На базе образовательных организаций высшего образования сформирована сеть из центров цифровой трансформации университетов - «Цифровой университет» и спутников таких центров; из международных научно-методических центров в области информатики, математики и технологий и спутников таких центров; из центров ускоренной подготовки специалистов в области информационных технологий, а также обеспечена реализация в системе высшего образования персональных траекторий развития обучающихся (накопительным итогом)</t>
  </si>
  <si>
    <t>Начало федерального проекта E9</t>
  </si>
  <si>
    <t>Создан общедоступный бесплатный онлайн-сервис, поддерживающий работу совокупности образовательных платформ и решений по освоению цифровой грамотности</t>
  </si>
  <si>
    <t>Сформирован механизм государственной поддержки продвижения российского образования за рубежом, в том числе через систему летних и зимних школ, филиалов и представительств российских организаций, находящихся за рубежом, для привлечения иностранных граждан с целью последующего приема на обучение по программам высшего образования, в том числе посредством представления информации и программ о российском образовании не менее чем в 10 ведущих мировых СМИ</t>
  </si>
  <si>
    <t>Реализация механизма государственной поддержки продвижения российского образования за рубежом является одним из инструментов повышения глобальной конкурентоспособности российского образования. Механизм предусматривает использование уже созданных за рубежом инфраструктурных ресурсов (Славянские университеты, российские школы, филиалы российских образовательных организаций высшего образования), а также формирования новых. Механизм продвижения российского образования реализуется через систему мероприятий: летние и зимние школы, информирование иностранных граждан о возможностях российского образования, проведение международных и российских олимпиад, по итогам которых иностранные граждане могут быть зачислены на обучение в российский образовательные организации высшего образования в рамках квоты Правительства Российской Федерации.</t>
  </si>
  <si>
    <t>Сформирована организационно-экономическая модель создания и эксплуатации современных многофункциональных студенческих городков, обеспечивающих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t>
  </si>
  <si>
    <t>В рамках федерального проекта предусмотрено создание современных многофункциональных студенческих городков для проживания иностранных и иногородних студентов, преподавателей и исследователей, в том числе по модели государственного-частного партнерства, отвечающих мировым стандартам и соответствующих строительным, санитарным, гигиеническим, противопожарным, антитеррористическим нормам и иным требованиям, включая требования архитектурной доступности для инвалидов. Модель создания и эксплуатации современных многофункциональных студенческих городков будет включать описание организационных и экономических механизмов создания и эксплуатации студенческих городков. Организационные механизмы будут включать описание параметров межведомственного взаимодействия, внесение изменений в нормативную правовую базу, в том числе в части миграционного учета, лицензирования и аккредитации образовательной деятельности. Экономические механизмы будут включать, в том числе механизмы привлечения внебюджетного финансирования, ориентированного на результат, в том числе в форме государственно-частного партнерства, а также параметры прогнозной оценки затрат на содержание и развития студенческих городков. Кроме того, в рамках федерального проекта будет проведена оценка потребности ведущих российских университетов, а также созданных в рамках национального проекта "Наука" научно-образовательных центров в создании многофункциональных студенческих городков, включая расчеты дополнительной потребности средств федерального бюджета.</t>
  </si>
  <si>
    <t>Разработана модель поддержки и развития экспорта образования по группам стран-партнеров и территориально-отраслевым сегментам мирового рынка с целью эффективного обеспечения высококвалифицированными кадрами экспортно ориентированных секторов российской экономики</t>
  </si>
  <si>
    <t>Модель поддержки и развития экспорта образования будет учитывать результаты приоритетного проекта "Развитие экспортного потенциала российской системы образования", паспорт которого утвержден президиумом Совета при Президенте Российской Федерации по стратегическому развитию и приоритетным проектам (протокол от 30 мая 2017 г. № 6), ориентирована на результаты и мероприятия федерального проекта "Экспорт услуг" национального проекта "Международная кооперация и экспорт". Будет учитывать особенности референтных групп стран-партнеров и территориально-отраслевых сегментов мирового рынка. Реализация модели поддержки и развития экспорта образования будет способствовать притоку финансовых ресурсов от оказания образовательных услуг.</t>
  </si>
  <si>
    <t>Разработаны и запущены интернет-сервисы по самооценке гражданами ключевых компетенций цифровой экономики</t>
  </si>
  <si>
    <t>Разработан комплекс мер по совершенствованию правил въезда в Российскую Федерацию и пребывания на ее территории иностранных граждан в целях обучения в российских образовательных организациях и трудоустройства в Российской Федерации</t>
  </si>
  <si>
    <t>Комплекс мер предусматривает анализ действующей нормативной правовой базы и разработку согласованных с заинтересованными федеральными органами исполнительной власти предложений по внесению изменений (разработке) в нормативные правовые акты в части совершенствования процедур въезда, выезда, пребывания на территории Российской Федерации, трудоустройства и стажировок иностранных граждан и лиц без гражданства на время их обучения на территории Российской Федерации, предложения по оптимизации миграционного законодательства в части въезда, выезда, пребывания на территории Российской Федерации, трудоустройства и стажировок иностранных преподавателей и административных сотрудников организаций, осуществляющих образовательную деятельность по образовательным программам высшего образования</t>
  </si>
  <si>
    <t>Созданы в университетах регулярно обновляемые версии официального сайта в сети "Интернет" на иностранных языках, ориентированные на запросы иностранных абитуриентов и студентов</t>
  </si>
  <si>
    <t>В целях обеспеченности информационной открытости университетов для зарубежных партнеров, иностранных абитуриентов и студентов предусмотрены изменения нормативных правовых актов, регулирующих размещение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На постоянной основе будет проводиться мониторинг соответствия официальных версий сайтов, результаты мониторинга будут учитываться при проведении оценки деятельности как самих организаций, так и их руководителей.</t>
  </si>
  <si>
    <t>Проведена информационная кампания по привлечению иностранных граждан к обучению в организациях, осуществляющих образовательную деятельность по программам высшего образования, в том числе на условиях целевого обучения</t>
  </si>
  <si>
    <t>Информационная кампания предусматривает реализацию комплекса презентационных мероприятий, направленных на формирование позитивного образа России и российского образования и отбору иностранных граждан для получения российского образования. Частью информационной кампании будет в том числе участие российских организаций, осуществляющих образовательную деятельность по образовательным программам среднего профессионального и высшего образования, в международных выставках, симпозиумах, конференциях</t>
  </si>
  <si>
    <t>Обеспечено экспертно-аналитическое и организационно-методическое сопровождение реализации федерального проекта «Кадры для цифровой экономики», а также выполнение его отдельных мероприятий</t>
  </si>
  <si>
    <t>Разработан комплексный план привлечения иностранных граждан для обучения в российских организациях, осуществляющих образовательную деятельность по программам высшего образования, с целью их последующего трудоустройства в российских и транснациональных компаниях за рубежом</t>
  </si>
  <si>
    <t>Комплексный план представляет собой описание вариативной системы мер и мероприятий по привлечению иностранных граждан для обучения в российских организациях, осуществляющих образовательную деятельность по программам высшего образования. Комплексный план будет предусматривать вклад образовательных организаций высшего образования и научных организаций в достижение целевого показателя по увеличению численности иностранных граждан</t>
  </si>
  <si>
    <t>Проходят обучение в летних и зимних школах, в том числе на базе летних оздоровительных лагерей, тыс. иностранных граждан нарастающим итогом:</t>
  </si>
  <si>
    <t>Летние и зимние школы будут организовываться в рамках механизма государственной поддержки продвижения российского образования за рубежом через реализацию проектов развития образовательных организаций высшего образования, в том числе ведущих университетов. Проведение летних и зимних школ будет направлено на выявление и отбор одаренных и профессионально ориентированных иностранных магистрантов и молодых исследователей, а также будет способствовать формированию позитивного образа России и российского образования. В проводимых летних и зимних школах, организованных российскими образовательными организациями высшего образования, будут принимать участие дети и представители молодежи из числа иностранных граждан в рамках соответствующих мероприятий, предусмотренных в федеральном проекте "Успех каждого ребенка"</t>
  </si>
  <si>
    <t>Не менее 5% преподавателей организаций, осуществляющих образовательную деятельность по образовательным программам высшего образования и дополнительным профессиональным программам, реализуют учебные дисциплины, курсы (модули) на иностранном языке</t>
  </si>
  <si>
    <t>Преподавание части учебных дисциплин, курсов (модулей) на иностранных языках направлено на повышение комфортности обучения иностранных граждан, сокращение периода их адаптации, а также повышение уровня языковой грамотности российских преподавателей и обучающихся</t>
  </si>
  <si>
    <t>Подготовлены проекты нормативных правовых актов о разработке и актуализации профессиональных стандартов с учетом современных цифровых технологий для внесения в Национальный совет при Президенте Российской Федерации по профессиональным квалификациям (ежегодно)</t>
  </si>
  <si>
    <t>По итогам международных и российских олимпиад и конкурсов отбирается иностранных граждан от общего числа иностранных граждан, принятых на первый курс в пределах квоты, установленной Правительством Российской Федерации, для обучения в российских организациях, осуществляющих образовательную деятельность по образовательным программам высшего образования, по востребованным (дефицитным) направлениям подготовки, специальностям</t>
  </si>
  <si>
    <t>Предоставление права приоритетного поступления иностранным граждан в пределах квоты, установленной Правительством Российской Федерации, отобранным на программы высшего образования позволит повысить уровень подготовленности к освоению программ высшего образования поступающих из числа иностранных граждан. С этой целью будут проанализированы проводимые различными организациями олимпиады и конкурсы, перечень которых утверждается приказом Минобрнауки России, а также мероприятия, проводимые совместно с работодателями, и определены те из них, которые могут быть ориентированы на иностранных граждан. Кроме того, предполагается, что в рамках достижения данного результата получат развитие олимпиады и конкурсы, которые в настоящее время проводятся непосредственно для приема иностранных граждан, в частности Международная олимпиада Ассоциации "Глобальные университеты" для поступающих на программы магистратуры</t>
  </si>
  <si>
    <t>Разработаны не менее 10 специализированных сайтов в сети "Интернет" для привлечения на обучение иностранных граждан, ориентированных на конкретную аудиторию с учетом референтных групп стран-партнеров</t>
  </si>
  <si>
    <t>Будут созданы специальные ресурсы, ориентированные на конкретную аудиторию референтных групп странпартнеров, в том числе с учетом особенности организации доступа к зарубежным сайтам в сети "Интернет" в отдельных странах, рассматриваемых как целевая аудитория для экспорта российского высшего образования (например, Китай). Ресурсы будут включать полную информации о реализуемых в России образовательных программах высшего образования по различным областям</t>
  </si>
  <si>
    <t>Обучены работающие специалисты, включая руководителей организаций и сотрудников органов власти и органов местного самоуправления, компетенциям и технологиям, востребованным в условиях цифровой экономики (накопительным итогом)</t>
  </si>
  <si>
    <t>Создано 50 ресурсных центров для детей и педагогов, обеспечивающих популяризацию изучения общеобразовательных предметов (математика, биология, химия, физика, астрономия и другие) на углубленном уровне (на русском языке) в странах-партнерах, в том числе с использованием сети Россотрудничества, российских центров науки и культуры, офисов транснациональных и российских компаний за рубежом, в том числе по годам нарастающим итогом:</t>
  </si>
  <si>
    <t>К 2024 году будет создано 50 ресурсных центров для детей и педагогов. Деятельность ресурсных центров для детей и педагогов, на базе которых будет осуществляться преподавание общеобразовательных предметов (математика, биология, химия, физика, астрономия и другие) на углубленном уровне, будет способствовать распространению и продвижению русского языка за рубежом, обеспечивать качественную общеобразовательную подготовку иностранных школьников, ориентированных на получение российского профессионального образования</t>
  </si>
  <si>
    <t>Поддержаны компании, реализующие проекты в области образовательных технологий (накопительным итогом)</t>
  </si>
  <si>
    <t>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t>
  </si>
  <si>
    <t>В 2019 году будет обеспечено, строительство и реконструкция ранее начатых объектов , а также объектов, обеспеченных разработанной проектной документацией, получившей положительные заключения государственной экспертизы. С 2020 года проектирование, строительство и реконструкция студенческих городков , в том числе приобретение недвижимого имущества, для иностранных и иногородних обучающихся и научно -педагогических работников будет реализовано, в том числе, на основе сформированной организационно -экономической модели создания и функционирования современного многофункционального студенческого городка. Перечень организаций для проектирования, строительства и реконструкции студенческих городков, в том числе приобретение недвижимого имущества, будет формироваться в том числе с учетом оценки их экспортного потенциала . При формировании перечня будут учтены потребности научно -образовательных центров, созданных в рамках национального проекта "Наука". Оценка экспортного потенциала будет проводиться, в том числе с учетом следующих критериев : международная привлекательность университетов , объем доходов от образовательного и научного экспорта . До мая 2019 года будет разработана система показателей с учетом данных критериев , установлены пороговые значения, по которым будет проводиться оценка экспортного потенциала. Проектирование, строительство и реконструкция студенческих городков для иностранных и иногородних обучающихся и научно-педагогических работников будет реализовано , в том числе с учетом механизма привлечения внебюджетного финансирования, ориентированного на результат, а также в форме государственно-частного партнерства.</t>
  </si>
  <si>
    <t>Увеличено не менее чем в два раза по сравнению с 2017 годом количество иностранных граждан, обучающихся в организациях, осуществляющих образовательную деятельность, по программам высшего образования, нарастающим итогом:</t>
  </si>
  <si>
    <t>К 2024 году численность иностранных Да граждан, прошедших обучение в образовательных организациях высшего образования и научных организациях, будет увеличена в два раза в сравнении с 2017 годом, что также будет способствовать увеличению объемов средств, которые Российская Федерация получит за оказание образовательных услуг. Является интегральным результатом всего комплекса мероприятий федерального проекта. Характеризует возможности использования ресурсов "мягкой силы" в продвижении Российской Федерации в мировом пространстве</t>
  </si>
  <si>
    <t>Поддержаны научно-технические проекты физических лиц в области цифровой экономики (накопительным итогом)</t>
  </si>
  <si>
    <t>Из числа иностранных обучающихся, завершивших обучение в организациях, осуществляющих образовательную деятельность по программам высшего образования, по востребованным (дефицитным) направлениям подготовки, не менее 5% трудоустроено в российских компаниях, в том числе для работы за рубежом</t>
  </si>
  <si>
    <t>Является показателем, характеризующим эффективность реализованных мероприятий по отбору и обучению иностранных граждан, по формированию доверия к России и ее позитивного восприятия. Для достижения данного результата будет проведен анализ мероприятий, проводимых работодателями, с целью подготовки высококвалифицированных сотрудников предприятий из числа иностранных граждан для кадрового обеспечения экспорта российских технологий. В частности, будут проанализированы мероприятия по реализации программ дополнительного профессионального образования с использованием ресурсов образовательных организаций высшего образования и материально-технической инфраструктуры предприятий по подготовке, повышению квалификации и переподготовке иностранных граждан для обеспечения деятельности российских предприятий за рубежом</t>
  </si>
  <si>
    <t>К 2024 году не менее 60 университетов реализуют не менее чем по 5 образовательных программ, прошедших международную аккредитацию</t>
  </si>
  <si>
    <t>Для повышения  привлекательности образовательных программ и образовательных организаций необходимо международное признание качества образовательных программ российских вузов независимыми зарубежными экспертными организациями для наращивания репутационного капитала российского образования</t>
  </si>
  <si>
    <t>Организованы и проведены в зарубежных странах мероприятия просветительского и мотивационного характера по привлечению талантливых граждан, проживающих за рубежом, на работу в Российской Федерации (накопительным итогом)</t>
  </si>
  <si>
    <t>Реализована поддержка образовательных организаций высшего образования, обладающих высоким экспортным потенциалом, для привлечения иностранных обучающихся.</t>
  </si>
  <si>
    <t>Будет обеспечена грантовая поддержка образовательных организаций высшего образования, обладающих высоким экспортным потенциалом, с целью увеличения количества иностранных обучающихся. Указанные мероприятия позволят обеспечить исполнение результатов федерального проекта.</t>
  </si>
  <si>
    <t>Педагоги русских школ за рубежом прошли повышение квалификации в иностранных государствах по приоритетным для цифровой экономики компетенциям (накопительным итогом)</t>
  </si>
  <si>
    <t>Окончание  федерального проекта E9</t>
  </si>
  <si>
    <t>Ученики и работники русских школ за рубежом прошли обучение по программам тиражирования лучших практик по развитию цифровой грамотности (накопительным итогом)</t>
  </si>
  <si>
    <t>Федеральный проект "Популяризация предпринимательства" (начало)</t>
  </si>
  <si>
    <t>.</t>
  </si>
  <si>
    <t>Проведены социологические исследования и глубинные интервью в целях выявления наиболее значимых факторов, определяющих интерес граждан к осуществлению предпринимательской деятельности. Сформирован комплекс показателей, основанных на выявленных факторах, для оценки эффективности мероприятий по популяризации предпринимательской деятельности</t>
  </si>
  <si>
    <t>Проведено социологическое исследование, основными результатами которых станут: 1. Для потенциальных предпринимателей (в разрезе каждой из целевых групп): выявлены факторы, определяющие интерес граждан РФ к предпринимательству; изучены драйверы, которые могут способствовать началу предпринимательской деятельности; проанализированы барьеры, препятствующие началу предпринимательской деятельности; проанализированы компетенции, которые необходимо усилить для начала предпринимательской деятельности; выявлены наиболее эффективные каналы взаимодействия с потенциальными предпринимателями; 2. Для действующих предпринимателей: выявлен уровень осведомленности о мерах государственной поддержки предпринимателей а также о рыночных инструментах привлечения финансирования; проанализирован опыт использования мер государственной поддержки предпринимателей,; выявлены барьеры, препятствующие использованию мер государственной поддержки предпринимателей; оценена эффективность мер государственной поддержки предпринимателей; выявлены факторы, способствующие/препятствующ ие росту предприятий МСП (от микро к малому, от малого к среднему);  выявлена потребность в кадрах у предприятий малого и среднего бизнеса (необходимые специальности, компетенции).
На основе проведенных исследований сформирован аналитический отчет, включающий: рекомендации по формированию содержания  эффективной информационно- пропагандисткой работы, целью  которой является вовлечение граждан России в предпринимательскую деятельность. описание набора разработанных базовых и адаптированных индикаторов, определяющих уровень интереса граждан России к предпринимательской деятельности методическое пособие, включающее подробное описание процедур и набор инструкций по дальнейшему воспроизведению аналогичных исследований с целью проведения повторных волновых исследований уровня интереса россиян к предпринимательской деятельности и отслеживания динамических изменений</t>
  </si>
  <si>
    <t>I8</t>
  </si>
  <si>
    <t>19.2.I8</t>
  </si>
  <si>
    <t>Исследование ключевых факторов, определяющих интерес граждан к предпринимательской деятельности, позволит улучшить качество и направленность последующих мер и механизмов популяризации предпринимательства, что в свою очередь должно повлиять на рост количества предпринимателей, как итог содействуя социально-экономическому развитию</t>
  </si>
  <si>
    <t>Разработаны образовательные программы (модули) высшего образования в интересах цифровой экономики (ежегодно)</t>
  </si>
  <si>
    <t>1390412152I860334812</t>
  </si>
  <si>
    <t>ЭБ</t>
  </si>
  <si>
    <t>Разработана и реализована федеральная информационная кампания по формированию благоприятного образа предпринимательства и стимулированию интереса к осуществлению предпринимательской деятельности с учетом особенностей каждой из выявленных целевых групп. Реализованы соответствующие кампании на региональном и муниципальном уровнях с учетом особенностей целевых групп</t>
  </si>
  <si>
    <t>1. Основными принципами информационной кампании являются: использование единого фирменного стиля (брендбука); реализация взаимосвязанного комплекса мероприятий информационной кампании на федеральном и региональном уровнях; реализация единой региональной модели во всех субъектах Российской Федерации; единовременные активности в субъектах Российской Федерации; использование единого информационного контента в ходе реализации информационной кампании. 2. Информационная кампания состоит из федеральной и региональной составляющих: 2.1. Федеральная составляющая: привлечение к участию в проекте публичных лиц и известных предпринимателей (для каждой целевой группы населения) с целью трансляции историй их развития в качестве предпринимателя, мотивации населения к занятию предпринимательской деятельностью и участию в Проекте; разработка сценария и создание мотивационных аудио и видеороликов для трансляции в федеральных средствах массовой информации; разработка сценариев телепередач, направленных на популяризацию предпринимательства; разработка дизайн-макетов материалов наружной рекламы;
2.2. Региональная составляющая: план реализации информационной кампании в субъектах Российской Федерации (взаимосвязанный с планом проведения федеральной информационной кампанией). 3. Разработка федерального проекта, направленного на вовлечение молодежи в возрасте 14-17 лет в предпринимательство, включающего:  обзор существующих программ и проектов в рамках указанной тематики; разработка проекта, направленного на работу с победителями и призерами существующих программ и проектов (проведение федерального конкурса, бизнес-лагеря и т.д.); 4. Разработка комплексного плана по популяризации института самозанятых граждан, включающего продвижение образа самозанятого в социальных сетях, создание специализированных медиа-проектов, в том числе телевизионных проектов. Разработка комплексного медиаплана продвижения положительного образа предпринимательства, включающего: план продвижения в сети Интернет; план размещения материалов в федеральных средствах массовой информации; план продвижения платформы знаний и сервисов для предпринимателей dasreda.ru; план мероприятий (всероссийских конкурсов, форумов и т.д.) в рамках Проекта. Реализована Федеральная и региональная информационная кампания, разработанная в соответствии с п. 1.2. настоящего Паспорта. Количество физических лиц, принявших участие в федеральном проекте, достигнет (нарастающим итогом) 3 140 тыс. чел. 2024 ., в том числе: в 2019 . - 500 тыс. чел.; в 2020 . - 1030 тыс. чел.; в 2021 . - 1570 тыс. чел.; в 2022 . - 2070 тыс. чел.; в 2023 . - 2550 тыс. чел.; в 2024 . - 2950 тыс. чел.</t>
  </si>
  <si>
    <t>Активная популяризация предпринимательской деятельности должна ускорить рост количества предпринимателей, таким образом содействуя социально-экономическому развитию</t>
  </si>
  <si>
    <t>1390412152I860453812</t>
  </si>
  <si>
    <t>Годом предпринимательства объявлен 2021 год</t>
  </si>
  <si>
    <t>Издан Указ Перзидента России об объявлении 2020 года - Годом предпринимательства Разработан и утвержден
межведомственный план мероприятий, реализуемых в рамках проведения Года предпринимательства</t>
  </si>
  <si>
    <t>Актуализированы федеральные государственные образовательные стандарты высшего образования в части требований к формированию компетенций цифровой экономики, и разработаны рекомендации по актуализации примерных основных образовательных программ</t>
  </si>
  <si>
    <t>"В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
 Количество вновь созданных субъектов МСП достигнет (нарастающим итогом) 
 62000 ед. в 2024 г."</t>
  </si>
  <si>
    <t>Реализованы комплексные программы по вовлечению населения в предпринимательскую деятельность в субъектах Российской Федерации. Основные этапы: Информационная кампания, направленная на создание положительного образа предпринимателя, реализованная в соответствии с разработанной моделью, указанной в п. 1.2. настоящего Паспорта, в том числе реализация существующих программ и проектов в рамках указанной тематики; В субъектах Российской Федерации реализованы массовые обучающие программы, направленные на развитие надпрофессиональных компетенций у населения, в том числе реализация существующих программ и проектов в рамках указанной тематики; Проведены мероприятия, направленные на выявление у участников предрасположенностей к профессиональным навыкам и компетенциям; Проведены обучающие мероприятия, направленные на развитие предпринимательских и иных компетенций у участников проекта, в том числе реализация существующих программ и проектов в рамках указанной тематики; Проведены обучающие мероприятия для самозанятых граждан, в том числе разъясняющие особенности специального налогового режима для самозанятых граждан, предусмотренного пилотным проектом и IT-форме, обеспечивающей постановку на учет самозанятых граждан и администрирование  налога; Реализованы программы и проекты, направленные на вовлечение в предпринимательскую деятельность молодежи в возрасте 14 - 17 лет; Проведены региональные этапы всероссийских и международных мероприятий (конкурсов, премий и т.д.); Реализованы проекты по наставничеству; Проведены публичные мероприятия (форумы, конференции, слеты и т.д.), для участников Проекта. Обеспечение участия предпринимателей - участников Проекта в международных экономических площадках. Количество вновь созданных субъектов МСП достигнет (нарастающим итогом) 62000 ед. в 2024 г., в том числе: в 2019 г. - 9000 ед.; в 2020 г. - 22500 ед.; в 2021 г. - 36000 ед.; в 2022 г. - 46000 ед.; в 2023 г. - 55000 ед.; в 2024 г. - 62000 ед.</t>
  </si>
  <si>
    <t>Содействие и поддержка со стороны государства предпринимателей должно повлиять на степень успешности предпринимательской деятельности и на рост количества предпринимателей, таким образом содействуя социально-экономическому развитию</t>
  </si>
  <si>
    <t>1390412152I855270523</t>
  </si>
  <si>
    <t>"Реализованы образовательные программы, курсы, в том числе модульные, направленные на развитие предпринимательских компетенций для каждой целевой группы, в том числе для:
 действующих предпринимателей;
 школьников; 
 лиц в возрасте до 30 лет, в том числе студентов; 
 женщин; 
 военнослужащих, уволенных в запас; 
 лиц старше 45 лет;
 безработных;
 инвалидов;
 выпускники и воспитанники детских домов"</t>
  </si>
  <si>
    <t>Реализованы обучающие программы, курсы, в том числе модульные, в том числе разработанные в соответствии с п. 2.3. настоящего Паспорта. При реализации указанных программ в том числе привлечены тренеры, обученные в соответствии с п. 2.3. настоящего Паспорта</t>
  </si>
  <si>
    <t xml:space="preserve">Расширение компетенций действующих и начинающих предпринимателей содействует повышению успешности предпринимательской деятельности, увеличит их количество и как следствие повлияет на социально-экономический рост </t>
  </si>
  <si>
    <t>Подготовлены к 2024 г. не менее 3900 тренеров для обучения целевых групп по утвержденным методикам (нарастающим итогом)</t>
  </si>
  <si>
    <t>Проведен анализ существующих обучающих программ для потенциальных и действующих предпринимателей. По результатам проведенного анализа сформирован и утвержден Перечень рекомендуемых Программ для предпринимателей, реализуемых в рамках настоящего федерального проекта. Разработаны и включены в Перечень дополнительные программы для обучения  целевых групп. Подготовлены к 2024 . не менее 3900 тренеров для последующего обучения в субъектах Российской Федерации целевых групп по утвержденным методикам, в том  числе: 2019 . - 225 человек; 2020 . - 470 человек; 2021 . - 675 человек; 2022 . - 755 человек; 2023 . - 775 человек; 2024 . - 1000 человек</t>
  </si>
  <si>
    <t>Увеличение количества тренеров позволит увеличить охват обучающихся, таким образом у большего количества предпринимателей улучшатся необходимые компетенции, позволяющие в лучшем виде вести собственный бизнес, таким образом сопутствуя социально-экономическому развитию</t>
  </si>
  <si>
    <t>Организованы и проведены в зарубежных странах мероприятия просветительского и мотивационного характера по привлечению перспективных иностранных студентов для обучения в образовательных организациях высшего образования по ИТ-специальностям или специальностям, востребованным в цифровой экономике (накопительным итогом)</t>
  </si>
  <si>
    <t>1390412152I860454812</t>
  </si>
  <si>
    <t>"Обучены основам ведения бизнеса, финансовой грамотности и иным навыкам предпринимательской деятельности к 2024 не менее 450 тыс. человек из целевых групп, в том числе:
 2019 год - 91 500 человек;
 2020 год - 95 550 человек;
 2021 год - 95 850 человек;
 2022 год - 61 425 человек;
 2023 год - 58 155 человек;
 2024 год - 50 680 человек"</t>
  </si>
  <si>
    <t>Реализованы мероприятия по обучению участников Проекта основам ведения бизнеса, финансовой грамотности и иным навыкам в рамках обучающих программ, таких как: обучающие программы АО Корпорации МСП  ("Азбука предпринимателя", "Мама- предприниматель", Школа  предпринимательства, а так же отдельные обучающие модули по актуальным для предпринимателей темам), Банка России, АО "Деловая Среда", ПАО "Сбербанк России", и др. обучающие программы. Обучены навыкам предпринимательской деятельности к 2024 не менее 450 тыс. человек из целевых групп, в том числе: 2019 г. - 91 500 человек; 2020 г. - 95 550 человек; 2021 г. - 95 850 человек; 2022 г. - 61 425 человек; 2023 г. - 58 155 человек; 2024 г. - 50 680 человек</t>
  </si>
  <si>
    <t>Разработаны требования и их методическое обеспечение, а также цифровой контент и программное обеспечение к цифровой образовательной среде для граждан с ОВЗ и инвалидностью</t>
  </si>
  <si>
    <t>В 2019 г - разработаны требования к цифровой образовательной среде для граждан с ОВЗ и инвалидностью, их методическое обеспечение и представлен отчет;
 В 2021 г - разработан цифровой контент к программному обеспечению к цифровой образовательной среде для граждан с ОВЗ и инвалидностью и представлен отчет;
 В 2022-2024 гг. - актуализируется цифровой контент и подготовлен ежегодныйотчет.</t>
  </si>
  <si>
    <t>Окончание ФП "Популяризация предпринимательства"</t>
  </si>
  <si>
    <t>Создан цифровой сервис, обеспечивающий формирование персонального профиля компетенций, персональной траектории развития и непрерывного образования граждан</t>
  </si>
  <si>
    <t>Начало Федеральный проект Поддержка занятости и повышение эффективности рынка труда для обеспечения роста производительности труда</t>
  </si>
  <si>
    <t>Подведены итоги мероприятий по поддержке занятости, проведенных в предшествующем году, и сформированы предложения по совершенствованию работы</t>
  </si>
  <si>
    <t xml:space="preserve">Отчет по итогам мероприятий по поддержке занятости за предшествующий год, Перечень предложений по совершенствованию работы
</t>
  </si>
  <si>
    <t>Разработана совместно с компаниями цифровой экономики прогнозная потребность в ИТ-специалистах до 2024 года</t>
  </si>
  <si>
    <t>По результатам проведенного в 2018 году обучения сотрудников предприятий в пилотных субъектах Российской Федерации уточнены, дополнены и утверждены рекомендации по проведению обучения в рамках национального проекта</t>
  </si>
  <si>
    <t>Утверждены обновленные рекомендации по проведению мероприятий по обучению работников предприятий участников национального проекта</t>
  </si>
  <si>
    <t>Доработана методология анализа и прогнозирования данных по потребности предприятий в персонале в ходе реализации мероприятий по повышению производительности труда на предприятиях - участниках национального проекта</t>
  </si>
  <si>
    <t xml:space="preserve">Разработаны подходы к определению количества работников, находящихся под риском высвобождения, по резульататам реализации мерпориятий по повышению производительности труда на пилотных предприятиях, в целях превентивного осуществления действий по организации их трудоустройства </t>
  </si>
  <si>
    <t>Разработана и утверждена методология реализации мероприятий по трудоустройству высвобожденного персонала, определена организационно-правовая основа для реализации мероприятий</t>
  </si>
  <si>
    <t xml:space="preserve">Утверждена методология реализации мероприятий по трудоустройству высвобожденного персонала, в том числе план и организационно-правовая основа </t>
  </si>
  <si>
    <t>Численность прошедших переобучение, повысивших квалификацию работников предприятий в целях поддержки занятости и повышения эффективности рынка труда</t>
  </si>
  <si>
    <t>К концу 2019 года не менее чем в 31 субъекте Российской Федерации - участниках национального проекта обучено не менее чем 18,4 тыс.работников предприятий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2019 году
К концу 2020 года не менее чем в 43 субъектах Российской Федерации - участниках национального проекта обучено не менее чем 34,0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2020 году
К концу 2021 года не менее чем в 57 субъектах Российской Федерации - участниках национального проекта обучено 50,6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2021 году
К концу 2022 года не менее чем в 71 субъекте Российской Федерации - участниках национального проекта обучено 67,2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2022 году
К концу 2023 года в 85 субъектах Российской Федерации - участниках национального проекта обучено не менее чем 83,8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2023 году
К концу 2024 года в 85 субъектах Российской Федерации - участниках национального проекта обучено не менее чем 100,4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2024 году</t>
  </si>
  <si>
    <t>Разработана модель центра ускоренной подготовки по компетенциям цифровой экономики совместно с предприятиями-партнерами и компаниями цифровой экономики</t>
  </si>
  <si>
    <t>1 525,20</t>
  </si>
  <si>
    <t>1 007,94</t>
  </si>
  <si>
    <t>1 024,64</t>
  </si>
  <si>
    <t>1 417,50</t>
  </si>
  <si>
    <t>Проведена оценка уровня трудоустройства работников предприятий, находящихся под риском высвобождения (также планируемых к высвобождению или высвобожденных), ранее участвовавших в национальном проекте</t>
  </si>
  <si>
    <t xml:space="preserve">Субъектами Российской Федерации - участниками национального проекта в Роструд направлены отчеты с оценкой уровня трудоустроенных работников участвующих предприятий из числа находящихся под риском увольнения и высвобожденных, Рострудом подготовлен итоговый отчет для планирования мерпориятий по поддержке занятости </t>
  </si>
  <si>
    <t>Разработан проект единых требований к деятельности органов службы занятости, включая типовые решения и рекомендации для повышения эффективности работы центров занятости населения, стандарт модельного центра занятости, регламенты работы центров занятости, внедрение и организационно-методическое сопровождение функционирования автоматизированных информационных систем, создание и обеспечение работы каналов связи, программа переобучения для сотрудников</t>
  </si>
  <si>
    <t xml:space="preserve">Создан проект единых требований к деятельности органов службы занятости для целей повышения эффективности работы и приведения качества деятельности центров занятости населения к единым высоким стандартам </t>
  </si>
  <si>
    <t xml:space="preserve">Сформирована и утверждена методика расчета показателя оценки удовлетворенности соискателей и работодателей услугами центров занятости населения </t>
  </si>
  <si>
    <t xml:space="preserve">Утверждена методика расчета показателя оценки удовлетворенности соискателей и работодателей услугами центров занятости населения для оценки результативности мероприятий по повышению эффективности центров занятости населения </t>
  </si>
  <si>
    <t>Разработана модель независимой оценки компетенций цифровой экономики и самооценке гражданами ключевых компетенций цифровой экономики</t>
  </si>
  <si>
    <t>В пилотных субъектах Российской Федерации усовершенствована система анализа и прогнозирования данных о потребности предприятий в кадрах</t>
  </si>
  <si>
    <t>Усовершенствована система анализа и прогнозирования данных о потребности предприятий в кадрах</t>
  </si>
  <si>
    <t xml:space="preserve">Количество центров занятости населения в субъектах Российской Федерации, в которых реализуются или реализованы проекты по модернизации
</t>
  </si>
  <si>
    <t xml:space="preserve"> Количество центров занятости населения в субъектах Российской Федерации, в которых реализованы пилотные проекты - не менее 66 к концу 2024 года </t>
  </si>
  <si>
    <t>Доля соискателей  - получателей услуг по подбору вакансий центров занятости населения, в которых реализованы проекты по модернизации, удовлетворенных полученными услугами</t>
  </si>
  <si>
    <t>Доля соискателей- получателей услуг по подбору вакансий центров занятости населения, в которых реализованы проекты по модернизации, удовлетворенных полученными услугами, достиг 81 процентов к концу 2024 года</t>
  </si>
  <si>
    <t>Принято на обучение по программам высшего образования в сфере информационных технологий (ежегодно)</t>
  </si>
  <si>
    <t>ежегодно</t>
  </si>
  <si>
    <t>Доля работодателей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t>
  </si>
  <si>
    <t xml:space="preserve">Доля работодателей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 достиг 81 процентов к концу 2024 года </t>
  </si>
  <si>
    <t>В субъектах Российской Федерации участниках национального проекта проведен аудит деятельности центров занятости населения и выявлены направления равития в соовтетствии с потребностью граждан, предприятий и учебных организаций</t>
  </si>
  <si>
    <t>Выделена категория работников предприятий - участников национального проекта, которым требуется профессиональное обучение, переобучение или повышение квалификации для реализации мероприятий по повышению производительности труда на предприятии</t>
  </si>
  <si>
    <t>Обучены специалисты, руководители и команды по компетенциям цифровой экономики, включая компетенции управления, основанного на данных, и защиты интеллектуальной собственности, с фиксацией цифрового следа на единой платформе (накопительным итогом)</t>
  </si>
  <si>
    <t xml:space="preserve">В субъектах Российской Федерации утвержден перечень пилотных проектов по реализации мероприятий. направленных на повышение эффективности деятельности центов занятости населения, в соответствии с едиными тербованиями к организации деятельности органов службы занятости по выявленным в ходе аудита проблемным областям их деятельности </t>
  </si>
  <si>
    <t>Выделена категория работиков предприятия, которые находятся под риском высвобождения, планируются к высвобождению или высвобождены и поэтому требуют профессионального обучения, переобучения или повышения квалифкации для дальнейшего трудоустройства</t>
  </si>
  <si>
    <t>Прошли обучение по онлайн программам развития цифровой грамотности (накопительным итогом)</t>
  </si>
  <si>
    <t>В субъектах Российской Федерации участниках национального проекта, где планируется обучение в текущем году, сформированы списки на обучение, выбраны обучающие курсы и обучающие организации</t>
  </si>
  <si>
    <t>В рамках пилотного проекта созадана система активного взаимодействия центров занятости населения с работодатлеями, в том числе из других субъектов Российской Федерации, в целях получения информации об актуальных вакансиях для целей трудоустройства работников предприятий - участников национального проекта</t>
  </si>
  <si>
    <t>В пилотных субъектах Россисйкой Федерации определены и внедрены ключевые показатели эффективности работы центров занятости населения</t>
  </si>
  <si>
    <t>Прошли обучение по развитию компетенций цифровой экономики в рамках системы персональных цифровых сертификатов (накопительным итогом)</t>
  </si>
  <si>
    <t>По результатам реализации пилотных проектов скорректипрованы типовые решения и рекомендации для повышения эффективности реаботы центров занятости населения, стандарт модельного центра занятости населения, регламенты работы центров занятости населения, внедрение и организационно-методчическое сопровоэжение функционирования автоматизированных информационных систем, программа переобучения для сотрудников</t>
  </si>
  <si>
    <t>Сформированы предложения по формированию системы планирования и прогнозирования потребности экономики субъектов Российской Федерации в кадрах</t>
  </si>
  <si>
    <t>Подведены итоги тиражирования лучших практик в пилотных субъектах Российской Федерации и принято решение о дальнейшем тиражировании</t>
  </si>
  <si>
    <t>Обеспечение информационной безопасности на основе отечественных разработок при передаче, обработке и хранении данных, гарантирующей защиту интересов личности, бизнеса и государства</t>
  </si>
  <si>
    <t>Разработана методика расчета показателей и индикаторов по федеральному проекту «Информационная безопасность»</t>
  </si>
  <si>
    <t>Разработаны методики расчета показателей и индикаторов. Методика используется для анализа достижения показателей при реализации мероприятий Национальной программы "Цифровая экономика Российской Федерации".</t>
  </si>
  <si>
    <t>Обновлены комплексные методологические материалы с учетом полученного опыта тиражирования в пилотных субъектах Российской Федерации</t>
  </si>
  <si>
    <t>Федеральный проект Поддержка занятости и повышение эффективности рынка труда для обеспечения роста производительности труда (конец)</t>
  </si>
  <si>
    <t>В международные организации внесены проекты нормативных актов, направленные на обеспечение использования сети «Интернет» для устойчивого развития экономики, включающие вопросы юрисдикции и определения субъектов правоотношений при использовании сети «Интернет»</t>
  </si>
  <si>
    <t>Определен перечень международных организаций, в которые необходимо внести проекты нормативных актов, направленных на обеспечение использования сети "Интернет" для устойчивого развития экономики, включающих вопросы юрисдикции и определения субъектов правоотношений при использовании сети "Интернет", на основе равноправного участия членов мирового сообщества в управлении глобальной информационной сетью и ее ресурсами с учетом уникальности данной сферы. В международные организации внесены проекты нормативных актов. Сформирована и на постоянной основе актуализируется информационно-правовая база, содержащая сведения о политике зарубежных стран в сфере сетевой и информационной безопасности</t>
  </si>
  <si>
    <t>Начало Федеральный проект Поддержка семей, имеющих детей</t>
  </si>
  <si>
    <t>Проведен анализ устойчивости, рисков и угроз безопасного функционирования единой сети электросвязи Российской Федерации (далее - ЕСЭ), в том числе функционированию и взаимодействию центров и систем управления сетями связи ЕСЭ, и оценка адекватности им существующих стандартов информационной безопасности</t>
  </si>
  <si>
    <t>Определены факторы, влияющие на устойчивость и безопасность функционирования ЕСЭ РФ в условиях современного технологического развития инфраструктуры сетей электросвязи. Разработаны подходы к формированию единой отраслевой модели угроз и нарушителя для сетей электросвязи, функционирующих в составе ЕСЭ Российской Федерации. Подготовлены предложения по внесению изменений в нормативные правовые акты и национальные стандарты Российской Федерации с учетом обеспечения их соответствия актуальным рискам нарушения устойчивости и безопасности функционирования ЕСЭ Российской Федерации.</t>
  </si>
  <si>
    <t>Функционирует федеральный портал информационно-просветительской поддержки родителей</t>
  </si>
  <si>
    <t>К 1 декабря 2019 года создан федеральный портал информационнопросветительской поддержки родителей в информационнотелекоммуникационной сети "Интернет" (далее - портал) с учетом имеющегося опыта (например, Международный проект "Энциклопедия раннего детского развития"). 
Портал направлен на информационнопросветительскую поддержку родителей обучающихся. Разделы портала содержат информацию по вопросам оказания услуг психологопедагогической, методической и консультативной помощи, повышения психологопедагогической грамотности родителей обучающихся, в том числе для обеспечения раннего развития детей в возрасте до трех лет, информационные и мультимедийные материалы, а также модули для организации коммуникации пользователей портала, в том числе в диалоговом режиме. 
Портал ориентирован на работу со следующими категориями семей: семьи, в которых воспитывается неродной ребенок (семьи опекунов, усыновителей, в которых детей воспитывают приемные родители (отчим или мачеха), приемные семьи, детские дома семейного типа); малообеспеченные семьи; многодетные семьи; семьи, воспитывающие детей с особыми потребностями; неполные семьи; молодые семьи. 
Будет реализован комплекс мероприятий по продвижению (популяризации) портала среди граждан.
Портал будет обновляться в ходе реализации федерального проекта, в том числе будут размещаться актуальные информационные и методические материалы, описание лучших практик субъектов Российской Федерации и НКО по организации работы с родителями воспитанников, обучающихся, экспертные заключения и публикации по различным тематикам психолого-педагогической, методической и консультативной помощи родителям детей. Через портал будет обеспечено информирование граждан о реализации мероприятий федерального проекта, а также предоставлена возможность получателям услуг оценить качество их предоставления</t>
  </si>
  <si>
    <t>Федеральный портал направлен на информационно-просветительскую поддержку родителей и содержит информацию о психолого-педагогической, методической и консультативной помощи, повышения психолого-педагогической грамотности родителей, в том числе, для обеспечения полноценного раннего развития детей (до 3-х лет).
Портал направлен на работу с некоторыми категориями семей: семьи с приемными и неродными детьми, малообеспеченные семьи, многодетные семьи, семьи, воспитывающие детей с особыми потребностями, неполные семьи, молодые семьи. Иными словами, те категории семей, которые наиболее подвержены рискам, в том числе, и социального сиротства.</t>
  </si>
  <si>
    <t>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НКО.</t>
  </si>
  <si>
    <t>Основным результатом проекта является удовлетворение потребности родителей (законных представителей) в саморазвитии по вопросам образования и воспитания детей, в том числе родителей детей, получающих дошкольное образование в семье. Результат будет достигнут за счет реализации программы психологопедагогической, методической и консультативной помощи родителям (законных представителей) через предоставление указанным категориям граждан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(далее - услуги), в том числе (нарастающим итогом с 2019 года): в 2019 году - не менее 2 млн. услуг в не менее чем 10 субъектах Российской Федерации; в 2020 году - не менее 4 млн. услуг в не менее чем 25 субъектах Российской Федерации; в 2021 году - не менее 7 млн. услуг в не менее чем 40 субъектах Российской Федерации; в 2022 году - не менее 10 млн. услуг в не менее чем 55 субъектах Российской Федерации; в 2023 году - не менее 15 млн. услуг в не менее чем 70 субъектах Российской Федерации; в 2024 году - не менее 20 млн. услуг во всех субъектах Российской Федерации. В 2019 году будут определены категории (виды), общие требования к расчету нормативных затрат, описание содержания услуг, в том числе в соответствии с возрастными особенностями, а также учитывающие вопросы раннего развития, воспитания, психологического здоровья и т.д. 
Реализация услуг предполагается через сеть НКО и иных организаций, в том числе государственных, муниципальных, социальноориентированных НКО, организаций, реализующих функции территориальных центров социальной помощи семье и детям, центров психолого-педагогической помощи населению. С учетом методических рекомендаций по информационнопросветительской поддержке родителей к 2019 году будут сформированы содержание и требования к услугам, а также с учетом критериев оценки качества оказания общественно полезных услуг, утвержденных постановлением Правительства Российской Федерации от 27 октября 2016 г. № 1096, будут сформированы критерии оценки качества оказания услуг. Будет проведено обучение специалистов НКО и иных организаций, в том числе государственных и муниципальных, по дополнительной профессиональной программе для специалистов, оказывающих услуги психологопедагогической, методической и консультативной помощи. 
Обучение будет проведено на базе организаций дополнительного профессионального образования, определенных субъектами Российской Федерации. В соответствии со сформированными содержанием, требованиями и критериями оценки качества услуг запланирован ежегодный отбор организаций на получение грантов в форме субсидий на поддержку развития деятельности по информационнопросветительской поддержке родителей в регионах. Будут заключены соглашения о предоставлении грантов в форме субсидий в целях оказания услуг, проведен мониторинг оказания услуг и оценка достижения показателей и качества оказанных услуг.</t>
  </si>
  <si>
    <t xml:space="preserve">строка 4 таблицы Структура
Государственной программы Рссийской Федерации "Развитие образования" на 2019 - 2025 годы
</t>
  </si>
  <si>
    <t>Мероприятие предполагает создание и привлечение существующих организаций и учреждений к системе оказания информационно-просветительской, а именно методической, психолого-педагогической и консультативной помощи родителям, а также подготовку соответствующих специалистов. Данное мероприятие предполагает получение родителями навыков воспитания детей и взаимодействия с ними при помощи экспертов, что поможет избежать обучающимся социального сиротства, испытать девиации в воспитании и пр.</t>
  </si>
  <si>
    <t>Проведен анализ элементов действующей инфраструктуры российского сегмента сети «Интернет» на территории России, включая существующую схему маршрутизации интернет-трафика, определены необходимые ресурсы</t>
  </si>
  <si>
    <t>Разработаны технические меры, направленные на обеспечение преимущественной маршрутизации внутрироссийского Интернет-трафика в пределах территории Российской Федерации.</t>
  </si>
  <si>
    <t>Разработаны и внедрены во всех субъектах Российской Федерации методические рекомендации по обеспечению информационно-просветительской поддержки родителей, включающие создание, в том числе в дошкольных образовательных и общеобразовательных организациях,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на безвозмездной основе.</t>
  </si>
  <si>
    <t>В 2019 году разработаны методические рекомендации, включающие в себя рекомендации по организационноуправленческим, нормативным, методическим мероприятиям, обеспечивающим расширение информационно-просветительской поддержки родителей через создание, в том числе, в дошкольных образовательных и общеобразовательных организациях, на базе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а также перечень показателей эффективности услуг и описание ожидаемых результатов. К концу 2021 года методические рекомендации внедрены во всех субъектах Российской Федерации, в том числе достигнуты показатели эффективности реализации рекомендаций через создание и поддержку деятельности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на безвозмездной основе. В 2022-2024 годы обеспечено сопровождение и поддержка субъектов Российской Федерации в реализации и развитии информационнопросветительской поддержки родителей, в первую очередь детей раннего возраста.</t>
  </si>
  <si>
    <t>Методические рекомендации, которые предлагается разработать и внедрить в рамках данного мероприятия, позволят полноценно организовать систему оказания информационно-просветительской, а именно методической, психолого-педагогической и консультативной помощи родителям.</t>
  </si>
  <si>
    <t>Конец Федеральный проект Поддержка семей, имеющих детей</t>
  </si>
  <si>
    <t>Обеспечение благоприятных условий для МСП в виде различных льгот должно снизить издержки субъектов МСП и увеличить количество субъектов МСП, что в свою очередь должно привести к социально-экономическому развитию субъектов РФ</t>
  </si>
  <si>
    <t>Законодательно закреплен правовой статус российского сегмента сети «Интернет», его инфраструктуры, порядок ее функционирования</t>
  </si>
  <si>
    <t>Проект изменений в Федеральный закон от 07.07.2003г. № 126-ФЗ "О связи" внесен в Государственную Думу Федерального Собрания Российской Федерации</t>
  </si>
  <si>
    <t>Е5 Федеральный проект "Учитель будущего" (начало)</t>
  </si>
  <si>
    <t>Во всех субъектах Российской Федерации внедрена система аттестации руководителей общеобразовательных организаций</t>
  </si>
  <si>
    <t>Приняты федеральные нормативные правовые акты, регламентирующие действие с 1 июня 2020 г. во всех субъектах РФ системы аттестации руководителей общеобразовательных организаций, которая позволяет: сформировать эффективную систему отбора кандидатов на должность руководителей общеобразовательных организаций, а также систему кадрового резерва руководителей общеобразовательных организаций; повысить эффективность образовательной, финансово-хозяйственной, организационной деятельности общеобразовательных организаций через разработку и реализацию программ развития образовательных организаций; подтвердить соответствие уровня квалификации руководителей общеобразовательных организаций требованиям, предъявляемым к занимаемой должности; квалификации кандидатов на должность руководителя общеобразовательной организации требованиям, предъявляемым к занимаемой должности; выявлять приоритетные направления повышения квалификации и профессиональной переподготовки руководителей и кандидатов на должность руководителя общеобразовательной организации; проводить ежегодный мониторинг результатов аттестационных процедур руководителей общеобразовательных организаций.</t>
  </si>
  <si>
    <t xml:space="preserve">E
</t>
  </si>
  <si>
    <t>из документа "Увязка результата ФП"</t>
  </si>
  <si>
    <t xml:space="preserve">Логическая связь между достижением национальных целей и внедрением системы аттестации руководителей общеобразовательных организаций не прослеживается </t>
  </si>
  <si>
    <t>Обеспечена возможность для непрерывного и планомерного повышения квалификации педагогических работников, в том числе на основе использования современных цифровых технологий, формирования и участия в профессиональных ассоциациях, программах обмена опытом и лучшими практиками, привлечения работодателей к дополнительному профессиональному образованию педагогических работников, в том числе в форме стажировок</t>
  </si>
  <si>
    <t>Законодательно приняты требования к устойчивости и безопасности сетей связи и оборудования органов государственной власти и организаций различных организационно-правовых форм и обеспечен контроль (надзор) за их соблюдением</t>
  </si>
  <si>
    <t>К концу 2020 года разработана методическая и организационная рамка системы непрерывного и планомерного повышения квалификации педагогических работников, которая позволяет: обеспечить доступность для каждого педагогического работника качественного дополнительного профессионального образования по профилю педагогической деятельности с учетом его профессиональных дефицитов и интересов, а также требований работодателей; создать условия для саморазвития, повышения уровня профессионального мастерства, овладения навыками использования современных цифровых технологий; обеспечить единые принципы организации и планирования повышения квалификации педагогических работников во всех субъектах РФ; стимулировать участие педагогических работников в деятельности профессиональных ассоциаций; поддерживать развитие "горизонтального обучения" среди педагогических работников, в том числе на основе обмена опытом; обеспечить возможность использования в педагогической практике подтвердивших эффективность методик и технологий обучения; обеспечить опережающее обучение новым образовательным технологиям, внедрение различных форматов электронного образования; в том числе мероприятий по повышению квалификации учителей, работающих с талантливыми детьми. К 1 сентября 2024 г. система внедрена во всех субъектах РФ. Кроме того, синхронизируется работа в вузах по доработке и реализации концепции обновления содержания и технологий педагогического образования.</t>
  </si>
  <si>
    <t>Утверждены требования к устойчивости и безопасности сетей связи и оборудования органов государственной власти и организаций различных организационно-правовых форм. Обеспечен контроль за соблюдением требований</t>
  </si>
  <si>
    <t xml:space="preserve">Повышение квалификации педагогических работников может привести к получению ими повышенных квалификационных разрядов и, как следствие, возможному росту доходов. При этом повышается уровень качества образовательной системы. </t>
  </si>
  <si>
    <t>Карьерный рост учителя - динамический процесс, напрямую связанный с профессиональным ростом как личностной готовностью к саморазвитию и самосовершенствованию в рамках имеющейся профессиональной деятельности. В свою очередь профессиональный рост – это, прежде всего, повышение квалификационной категории, что влияет на заработную плату и увеличивает шансы на повышение в должности.
С.В.Кутняк «Исследование возможностей карьерного роста современного учителя» (https://cyberleninka.ru/article/n/issledovanie-vozmozhnostey-kariernogo-rosta-sovremennogo-uchitelya)</t>
  </si>
  <si>
    <t>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t>
  </si>
  <si>
    <t>К концу 2024 года не менее 50 процентов педагогических работников системы общего, дополнительного образования детей и профессионального образования 85 субъектов Российской Федерации прошли обучение, в том числе с использованием дистанционных технологий, в рамках национальной системы профессионального роста педагогических работников на базе не менее 255 центров непрерывного повышения профессионального мастерства педагогических работников. Вовлечение педагогических работников проводится поэтапно, в том числе: в 2019 -2020 годах - не менее 5 % педагогических работников системы общего, дополнительного образования детей и профессионального образования в не менее чем 20 субъектах Российской Федерации; в 2021 году – не менее 10 % педагогических работников системы общего, дополнительного образования детей и профессионального образования в не менее чем 35 субъектах Российской Федерации; в 2022 году - не менее 20 % педагогических работников системы общего, дополнительного образования детей и профессионального образования в не менее чем 50 субъектах Российской Федерации; в 2023 году - не менее 30 % педагогических работников системы общего, дополнительного образования детей и профессионального образования в не менее чем 70 субъектах Российской Федерации. Формируемая сеть центров непрерывного повышения профессионального мастерства педагогических работников обеспечивает: актуализацию профессиональных знаний, умений, навыков и компетенций педагогических работников; подготовку педагогических работников к использованию новых форм, методов и средств обучения и воспитания, в том числе разработанных и внедряемых в рамках национального проекта "Образование"; подготовку работников по программам педагогической магистратуры, направленным на формирование и развитие исследовательской культуры обучающихся и педагогов, а также в форме профессиональных стажировок в рамках взаимодействия с предприятиями региона и другими регионами; внедрение в образовательный процесс современных технологий обучения и воспитания, в том числе проектных форм работы с обучающимися; повышение подготовки обучающихся в процессе реализации общеобразовательных программ и формирование компетенций с учетом задачи по улучшению результатов участия российских школьников в международных исследованиях качества образования (PISA, TIMSS, PIRLS).</t>
  </si>
  <si>
    <t xml:space="preserve">Развитие дошкольного и общего образования
</t>
  </si>
  <si>
    <t>Приложение 1. Цель ФП "Учитель будущего"</t>
  </si>
  <si>
    <t>Введена национальная система учительского роста педагогических работников, в том числе внесены изменения в номенклатуру должностей педагогических работников, должностей руководителей образовательных организаций</t>
  </si>
  <si>
    <t>Внедрена к концу 2020 года национальная система учительского роста (НСУР), актуализированы и апробированы до 2024 года конкурсы профессионального мастерства, учитываемые в процессе аттестации учителей на квалификационную категорию по новым должностям наряду с положительной динамикой учебных результатов обучающихся. НСУР, а также национальная система педагогического роста педагогических работников, реализующаяся на базе центров оценки профессионального мастерства и квалификаций педагогов, являющихся юридическими лицами, осуществляющими независимую оценку квалификаций руководящих и педагогических работников (с рекомендацией учитывать результаты при проведении процедуры аттестации) в рамках реализации Федерального закона "О независимой оценке квалификации" от 3 июля 2016 г. № 238, позволяет: нормативно установить номенклатуру должностей педагогических работников и руководителей образовательных организаций; внести соответствующие номенклатуре должностей дополнения на основе методических рекомендаций Минпросвещения России в нормативную базу, регламентирующую систему оплаты труда в каждом регионе Российской Федерации; выстроить систему карьерного роста педагогических работников и руководителей образовательных организаций; повысить мотивацию к повышению профессионального мастерства педагогических работников; сохранить все предусмотренные действующим федеральным и региональным законодательством социальные гарантии при введении новых должностей педагогических работников. С учетом, что план мероприятий («дорожная карта») по формированию и внедрению НСУР утвержден в 2017 году, в 2018-2019 годах реализация мероприятий настоящего результата будет продолжена в рамках мероприятий ВЦП «Развитие современных механизмов и технологий дошкольного и общего образования», ВЦП «Качество образования» государственной программы Российской Федерации «Развитие образования».</t>
  </si>
  <si>
    <t>Определены методики оценки показателей информационной безопасности на сетях связи общего пользования (включая российский сегмент сети «Интернет»), их текущие и целевые значения</t>
  </si>
  <si>
    <t>Разработана система целевых показателей и индикаторов устойчивости, информационной безопасности сетей связи общего пользования.Разработан инструментарий для оценки и мониторинга текущих значений целевых показателей и индикаторов устойчивости, информационной безопасности сетей связи общего пользования.Разработаны системные, организационные и технические меры обеспечения автоматизированного мониторинга значений целевых показателей и индикаторов устойчивости, информационной безопасности сетей связи общего пользования.</t>
  </si>
  <si>
    <t>Не менее 10% педагогических работников систем общего образования и дополнительного образования детей прошли добровольную независимую оценку профессиональной квалификации</t>
  </si>
  <si>
    <t>В 2020 - 2024 годах добровольную независимой оценку квалификаций прошли не менее чем 10 процентов педагогических работников на базе не менее 85 центров оценки профессионального мастерства и квалификаций педагогов, созданных во всех субъектах Российской Федерации, в том числе: в 2020 году в 19 субъектах Российской Федерации - не менее 19 центров оценки профессионального мастерства и квалификаций педагогов; в 2021 году в 34 субъектах Российской Федерации – не менее 34 центров оценки профессионального мастерства и квалификаций педагогов; в 2022 году в 49 субъектах Российской Федерации - не менее 49 центров оценки профессионального мастерства и квалификаций педагогов; в 2023 году в 65 субъектах Российской Федерации - не менее 65 центров оценки профессионального мастерства и квалификаций педагогов; в 2024 году во всех субъектах Российской Федерации созданы и функционируют не менее 85 центров оценки профессионального мастерства и квалификаций педагогов, что позволяет обеспечить соответствующую современным требованиям независимую процедуру подтверждения соответствия квалификации положениям профессионального стандарта или квалификационным требованиям.</t>
  </si>
  <si>
    <t>Приняты подзаконные акты, устанавливающие требования к проектированию, управлению и эксплуатации сетей связи общего пользования с учетом рисков и угроз информационной безопасности</t>
  </si>
  <si>
    <t>Разработаны и приняты на законодательном уровне целевые меры и требования по обеспечению устойчивости и безопасности сетей связи общего пользования в части: - управления средствами связи;- организационно-технического обеспечения устойчивого функционирования сетей связи, в том числе в чрезвычайных ситуациях; - защиты сетей связи от несанкционированного доступа к ним и передаваемой по ним информации; - порядка ввода сетей связи в эксплуатацию; - организационно-технического обеспечения устойчивого функционирования сетей связи в интересах критической информационной инфраструктуры.</t>
  </si>
  <si>
    <t>Созданы центры непрерывного повышения профессионального мастерства педагогических работников и центры оценки профессионального мастерства и квалификации педагогов во всех субъектах Российской Федерации</t>
  </si>
  <si>
    <t>В 2019-2024 году за счет софинансирования из федерального бюджета во всех субъектах Российской Федерации создана сеть из не менее чем 255 центров непрерывного повышения профессионального мастерства педагогических работников и из не менее чем 85 центров оценки профессионального мастерства и квалификаций педагогов. Формируемая сеть центров непрерывного повышения профессионального мастерства педагогических работников обеспечивает: актуализацию профессиональных знаний, умений, навыков и компетенций педагогических работников; подготовку педагогических работников к использованию новых форм, методов и средств обучения и воспитания, в том числе разработанных и внедряемых в рамках национального проекта "Образование"; подготовку работников по программам педагогической магистратуры, направленным на формирование и развитие исследовательской культуры обучающихся и педагогов, а также в форме профессиональных стажировок в рамках взаимодействия с предприятиями региона и другими регионами; внедрение в образовательный процесс современных технологий обучения и воспитания, в том числе проектных форм работы с обучающимися; повышение подготовки обучающихся в процессе реализации общеобразовательных программ и формирование компетенций с учетом задачи по улучшению результатов участия российских школьников в международных исследованиях качества образования (PISA, TIMSS, PIRLS). Значение количества центров непрерывного повышения профессионального мастерства педагогических работников и центров оценки профессионального мастерства и квалификаций педагогов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</si>
  <si>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Не менее 70% учителей в возрасте до 35 лет вовлечены в различные формы поддержки и сопровождения в первые три года работы</t>
  </si>
  <si>
    <t>В 2021-2024 годах не менее 70 процентов педагогических работников в возрасте до 35 лет вовлечены в различные формы поддержки и сопровождения, в том числе наставничества, что позволяет: создать условия для профессиональной и социально- бытовой адаптации педагогических работников; привлечь и закрепить в общеобразовательных организациях лучших выпускников вузов; актуализировать и расширить полученные педагогическими работниками в процессе профессионального образования знания, умения и компетенции; обеспечить баланс состава педагогических коллективов и преемственность традиций российской школы. В целях достижения результата будут реализованы программы выявления и поддержки молодежи, мотивированной к освоению педагогической профессии, внедрены механизмы повышения степени участия молодых людей (студентов) в обучении школьников (наставничество), а также обеспечено привлечение в сферу общего и дополнительного образования детей специалистов-практиков и студентов образовательных организаций высшего образования, в том числе не имеющих профильного педагогического образования.</t>
  </si>
  <si>
    <t xml:space="preserve">Поддержка и сопровождение молодых педагогических работников может привести к их закреплению в профессии, получению повышенных квалификационных разрядов и, как следствие, возможному росту доходов. При этом повышается уровень качества образовательной системы. </t>
  </si>
  <si>
    <t>отсутствует</t>
  </si>
  <si>
    <t>В соответствии с разработанными обучающими и информационно-просветительскими мероприятиями (семинарами, вебинарами, тренингами, стажировками, конкурсами) организован и проведен комплекс мер по вовлечению в вожатскую деятельность и повышению уровня подготовки вожатых, в том числе педагогических работников, для практической деятельности с детьми</t>
  </si>
  <si>
    <t>Разработаны предложения по продвижению отечественных решений в области информационной безопасности по направлению «Умный город»</t>
  </si>
  <si>
    <t>Обеспечено информационное сопровождение национального проекта "Образование"</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</si>
  <si>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 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"Целевая образовательная среда"</t>
  </si>
  <si>
    <t>Продвижение отечественных решений в области информационной безопасности по направлению "Умный город" может способствовать развитию предприятий и повышению благосостояния специалистов, работающих на них, которые занимаются разработкой специализированного программного и технического обеспечения. Помимо этого, повышение безопасности систем в рамках направления "Умный город" может помочь их внедрению в муниципальные образования, что, в частности, упростит и удешевит получение государственных и муниципальных услуг гражданами. Это может позитивно сказаться на уровне их доходов.</t>
  </si>
  <si>
    <t xml:space="preserve">п.п.9, приложение №1 "План мероприятий по реализации федерального проекта"
</t>
  </si>
  <si>
    <t>Информационное сопровождение НП "Образование" является функциональной обязанностью соответствующих ФОИВ и напрямую не влият на достижение национальных целей.</t>
  </si>
  <si>
    <t>Е5 Федеральный проект "Учитель будущего" (конец)</t>
  </si>
  <si>
    <t>Разработан и принят комплекс стандартов информационной безопасности, обеспечивающий минимизацию рисков и угроз безопасного функционирования сетей связи общего пользования</t>
  </si>
  <si>
    <t>Разработаны и приняты национальные стандарты обеспечения информационной безопасности сетей связи общего пользования, обеспечивающие минимизацию рисков и угроз безопасного функционирования сетей связи общего пользования.Разработана система оценки соответствия и механизмов контроля соответствия операторов связи требованиям национальных стандартов обеспечения информационной безопасности сетей связи общего пользования. Принят нормативный отраслевой правовой акт, обязывающий операторов связи выполнять комплекс стандартов информационной безопасности, обеспечивающих минимизацию рисков и угроз безопасного функционирования сетей связи общего пользования.</t>
  </si>
  <si>
    <t>Е8 Федеральный проект "Социальная активность" (начало)</t>
  </si>
  <si>
    <t>Разработаны меры регулирования вопросов целостного, устойчивого и безопасного функционирования российского сегмента сети «Интернет»</t>
  </si>
  <si>
    <t>Установлены обязанности и ответственность операторов связи и иных юридических лиц использовать программно-аппаратных средства обеспечивающие устойчивое и безопасное функционирование российского сегмента сети Интернет. Проводятся ежегодные учения направленные на обеспечение целостности, устойчивости и безопасности функционирования российского сегмента сети Интернет.</t>
  </si>
  <si>
    <t>Созданы центры (сообщества, объединения) поддержки добровольчества (волонтерства) на базе образовательных организаций, некоммерческих организаций, государственных и муниципальных учреждений</t>
  </si>
  <si>
    <t>К 2024 году созданы и функционируют 318 центров (сообществ, объединений) поддержки добровольчества (волонтерства) на базе образовательных организаций, НКО, государственных и муниципальных учреждений, в том числе 10 ресурсных центров по поддержке добровольчества (волонтерства) в сфере культуры безопасности и ЧС. Разработан типовой регламент деятельности ресурсных центров по поддержке добровольчества (волонтерства) в сфере культуры безопасности и ЧС. Сформирована сеть центров (сообществ, объединений) по поддержке добровольчества (волонтерства) в различных сферах на базе образовательных организаций, некоммерческих организаций, государственных и муниципальных учреждений, обеспечено продвижение социальных добровольческих проектов, реализуемых молодежью.</t>
  </si>
  <si>
    <t>Создание в субъектах Российской Федерации региональных центров поддержки добровольчества (волонтерства), в том числе в сфере социальной поддержки и защиты граждан, что будет способствовать развитию благотворительности и волонтерства с целью помощи нуждающимся гражданам</t>
  </si>
  <si>
    <t>Частная благотворительность способствует реализации активной гражданской позиции, решению социальных проблем, уменьшению социального неравенства, улучшению качества жизни и нравственному развитию общества.
Дремова В.Б., Лунева О.С. Добровольчество как основа краудфандинга (https://elibrary.ru/item.asp?id=26446640)</t>
  </si>
  <si>
    <t>Проведены конкурсы, направленные на развитие добровольчества в школах, повышение уровня мотивации школьников и педагогов к участию в волонтерской деятельности</t>
  </si>
  <si>
    <t>Разработана конкурсная документация и проведены конкурсные отборы на предоставление субсидий (грантов), направленных на создание эффективной системы развития добровольчества в школах, повышение уровня мотивации школьников и педагогов к участию в волонтерской деятельности, в которой принимают участие не менее 600 педагогов и не менее 6000 школьников ежегодно.</t>
  </si>
  <si>
    <t>Развитие благотворительности и волонтерства с целью помощи нуждающимся гражданам</t>
  </si>
  <si>
    <t>Оказана поддержка организации, деятельность которой направлена на эффективное развитие волонтерских (добровольческих) инициатив в сфере образования, физической культуры, здравоохранения, спорта, культуры, гражданско-патриотического воспитания, охраны окружающей среды, социальной защиты населения и информационных технологий, в том числе на формирование единой площадки по взаимодействию институтов добровольческой (волонтерской) деятельности, создание унифицированной системы учета добровольческой (волонтерской) деятельности. К 2024 году не менее 1 100 тыс. человек использует единую информационную систему в сфере развития добровольчества, представляющую собой систему эффективного поиска информации, взаимодействия, коммуникации и обучения добровольцев, комплексного учета волонтерского опыта и компетенций, объединения запросов и предложений волонтерской помощи в одном месте, способствующую комплексному решению задач по созданию условий для развития добровольчества</t>
  </si>
  <si>
    <t>Обеспечено развитие единой информационной системы в сфере развития добровольчества путем расширения ее функционала и содержательного наполнения. Разработаны и реализуются мероприятия по продвижению единой информационной системы в сфере развития добровольчества в средствах массовой информации. Обеспечено продвижение единой информационной платформы в средствах массовой информации, выпуск специализированных информационных и образовательных передач для добровольцев (волонтеров) (ежегодно). Обеспечено нормативное регулирование порядка ведения электронной волонтерской книжки, необходимой для учета и подтверждения опыта волонтерской деятельности, в единой информационной системы в сфере развития добровольчества и ее учета приемными комиссиями образовательных организаций. Ежегодное увеличение числа пользователей не менее 150 тыс. человек в год. Разработка и внедрение цифрового сервиса для диагностики мотивации к социальной активности у детей и молодежи, что подразумевает проведение исследований по анализу мотивации к волонтерской деятельности на базе единой информационной системы в сфере развития добровольчества.</t>
  </si>
  <si>
    <t>Проведены мероприятия по развитию отечественной инфраструктуры телерадиовещания и обеспечения безопасности ее функционировани</t>
  </si>
  <si>
    <t>Проведены мероприятия по развитию отечественной инфраструктуры телерадиовещания и обеспечения безопасности ее функционирования.</t>
  </si>
  <si>
    <t>Осуществлены мероприятия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</si>
  <si>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Разработаны и реализуются мероприятия с целью прохождения координаторами добровольцев (волонтеров) курсов (лекций,программ)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 Мероприятия разрабатываются с учетом российской и международной практики и возможностью модульного освоения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</si>
  <si>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Мероприятия по развитию отечественной инфраструктуры телерадиовещания и ее безопасности будут содействовать появлению соответствующих предприятий, что позволит специалистам, имеющим необходимую квалификацию и навыки, вступить в трудовые отношения.</t>
  </si>
  <si>
    <t>Реализованы практики поддержки добровольчества (волонтерства) по итогам проведения ежегодного конкурса по предоставлению субсидии субъектам Российской Федерации на реализацию практик поддержки и развития добровольчества (волонтерства) "Регион добрых дел"</t>
  </si>
  <si>
    <t>Разработана конкурсная документация и проведен конкурсный отбор на предоставление субсидий (грантов) лучшим практикам в сфере добровольчества (волонтерства), реализуемым в субъектах Российской Федерации, по широкому спектру направлений добровольческой (волонтерской) деятельности. Поддержано не менее 20 практик ежегодно.</t>
  </si>
  <si>
    <t>Оказана поддержка организациям на реализацию мероприятий, направленных на развитие добровольчества (волонтерства), в том числе в рамках развития межнационального сотрудничества, сохранения культуры и традиций народов России и гражданско-патриотического воспитания молодежи, эффективного развития волонтерских (добровольческих) инициатив, развития медицинского добровольчества. В 85 субъектах Российской Федерации создана и внедрена система социальной поддержки граждан, систематически участвующих в добровольческих (волонтерских) проектах, в том числе обеспечены персонализированный учет волонтеров, организаций, развивающих волонтерскую деятельность, повышение уровня мобильности в целях участия в волонтерских мероприятиях и обучающих стажировках, проводимых в субъектах Российской Федерации и иностранных государствах, учреждение наград и званий, стипендиальная поддержка (для обучающихся), нематериальная поддержка граждан, участвующих в добровольческой деятельности»</t>
  </si>
  <si>
    <t>Разработаны типовые технологические решения по созданию защищенных программно-аппаратных комплексов, реализующих технологии распознавания образцов (компьютерного зрения), для использования на беспилотных транспортных средствах</t>
  </si>
  <si>
    <t>Обеспечена защита прав и законных интересов личности, бизнеса и государства от угроз информационной безопасности в условиях цифровой экономики</t>
  </si>
  <si>
    <t>Разработана нормативно-методическая база для организации системы учета и признания результатов участия волонтеров в мероприятиях, лучших практик в сфере добровольчества, реализуемых в субъектах Российской Федерации, в составе программ среднего профессионального и высшего образования, иных форм учета и социальной поддержки граждан, систематически участвующих в добровольческих (волонтерских) проектах. Создана система повышения уровня мобильности лучших волонтеров, включающая возмещение расходов на оплату проживания и трансфера до мест проведения крупных событий, а также организацию межрегиональных и международных стажировок в сфере волонтерства. Создана сеть региональных ресурсных центров добровольчества, волонтерских центров в образовательных организациях всех типов, центров "серебряного" волонтерства во всех 85 субъектах Российской Федерации, а также волонтерских движений в сфере здравоохранения и гражданско- патриотического воспитания населения. Создана система учета опыта социальной активности, в том числе добровольческой деятельности, обучающихся по основным общеобразовательным программам при поступлении в организации профессионального и высшего образования, а также граждан при трудоустройстве на работу</t>
  </si>
  <si>
    <t>В целях популяризации добровольчества (волонтерства) проведена информационная и рекламная кампания, в том числе рекламные ролики на ТВ и в сети "Интернет", охват аудитории теле- и радиорекламы составляет не менее 10 000 000 человек ежегодно, а также в сети "Интернет" и социальных сетях размещается не менее 1 000 информационных материалов в год</t>
  </si>
  <si>
    <t>Организованы и проведены конкурсы на лучшую разработку информационной и рекламной кампании в целях популяризации добровольчества. Организована и проводится информационная и рекламная кампании в целях популяризации добровольчества (ежегодно). Подготовлено и обеспечено распространение аналитических материалов по результатам исследования эффективности реализованной информационной и рекламной кампании в целях популяризации добровольчества, включающей критерии вовлечения новых добровольцев (волонтеров) в действующие проекты на основе данных единой информационной системы в сфере развития добровольчества</t>
  </si>
  <si>
    <t>Реализовано не менее 3 всероссийских, 4 окружных молодежных проектов и мероприятий по различным направлениям добровольчества</t>
  </si>
  <si>
    <t>Проводится 2 всероссийских мероприятия, направленных на подведение итогов первого полугодия и года в целом, а также 1 всероссийское мероприятие, направленное на развитие "серебряного" добровольчества, 4 окружных форумов добровольцев в федеральных округах Российской Федерации</t>
  </si>
  <si>
    <t>Создана защищенная цифровая среда взаимодействия двойного назначения на базе отечественных технологий для работы в стандарте LTE-450 для нужд МВД России, МЧС России, Росгвардии</t>
  </si>
  <si>
    <t>Разработана концепция защищённой цифровой среды взаимодействия двойного назначения на базе отечественных технологий для нужд МВД России, МЧС России, Росгвардии. Концепция определяет защищённые способы обеспечения связью территорий Российской Федерации, в которых в настоящее время связь отсутствует. Концепция согласована со всеми заинтересованными органами. Утверждены номенклатура и требования к оборудованию двойного назначения на базе отечественных технологий для работы в стандарте LTE-450. Приняты и реализуются меры поддержки потребителей пользовательского оборудования двойного назначения на базе отечественных технологий для работы в стандарте LTE-450</t>
  </si>
  <si>
    <t>Реализован комплекс проектов и мероприятий для студенческой молодежи, направленный на формирование и развитие способностей, личностных компетенций для самореализации и профессионального развития</t>
  </si>
  <si>
    <t>Ежегодно в рамках проекта дискуссионных студенческих клубов "Диалог на равных" проводится не менее 1 000 встреч во всех субъектах Российской Федерации, с участием не менее 500 спикеров, в которых принимает участие не менее 200 000 студентов образовательных организаций высшего и среднего специального образования. Проведено не менее 300 прямых трансляций в сети "Интернет" (ежегодно), создано не менее 100 видеороликов (ежегодно) для размещения в сети "Интернет". Общий охват интернет- аудитории проектом составит не менее 5 000 000 человек ежегодно. Не менее 150 тыс. студентов к 2024 году используют единое студенческое мобильное приложение "OnRussia", объединяющее активную молодежь со всей страны. Ежегодное увеличение числа пользователей не менее 50 тыс. человек. Созданы и реализуют свою деятельность на постоянной основе отделения Национальной лиги студенческих клубов в не менее 80 субъектах Российской Федерации к 2024 году. Ежегодно участие принимают не менее 500 000 студентов образовательных организаций высшего и среднего специального образования из 80 субъектов Российской Федерации К 2024 году 70% студентов будут вовлечены в клубное студенческое движение.</t>
  </si>
  <si>
    <t xml:space="preserve">2.1
</t>
  </si>
  <si>
    <t>Создание и эксплуатация подмосковного образовательного молодежного центра (Мастерской управления "Сенеж")</t>
  </si>
  <si>
    <t>Спроектирована и построена образовательная площадка,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t>
  </si>
  <si>
    <t>Мероприятие направлено на формирование института добровольчества в области культуры и искусства, ежегодную поддержку гражданских инициатив и творческих проектов. 
При этом влияние на достижение рассматриваемых национальных целей неочевидно.</t>
  </si>
  <si>
    <t>На базе подмосковного образовательного молодежного центра (Мастерской управления "Сенеж") проведены образовательные мероприятия, ежегодное количество участников которых не менее 12 тыс. человек, в том числе проведены мероприятия проектов платформы "Россия - страна возможностей"</t>
  </si>
  <si>
    <t>Разработаны и реализованы образовательные программы на базе подмосковного образовательного молодежного центра (Мастерской управления "Сенеж"). Ежегодно не менее 12 тыс. человек участвуют (в том числе в формате он-лайн) в форумах, слетах, конференциях на базе подмосковного образовательного молодежного центра (Мастерской управления "Сенеж"), проходят обучение в образовательных программах (тренингах, семинарах, мастер-классах) на базе подмосковного образовательного молодежного центра (Мастерской управления "Сенеж"), а также принимают участие в проектах платформы "Россия - страна возможностей", которые реализуются на базе подмосковного образовательного молодежного центра (Мастерской управления "Сенеж").</t>
  </si>
  <si>
    <t>В рамках обеспечения функционирования системы автоматизированного обмена информацией об актуальных киберугрозах, реализованной на базе введенной в эксплуатацию технической инфраструктуры НКЦКИ, заключены соглашения о взаимодействии между Национальным координационным центром по компьютерным инцидентам (НКЦКИ) и корпоративными, отраслевыми центрами Государственной системы обнаружения, предупреждения и ликвидации последствий компьютерных атак (ГосСОПКА)</t>
  </si>
  <si>
    <t>Ежегодно, начиная с 2019 года, в весенне-летний период разработаны и проведены 10 образовательных программ в рамках Форума молодых деятелей культуры и искусства "Таврида" . 
 На базе образовательного центра для молодых деятелей культуры и искусства "Арт-резиденция "Таврида", начиная с 2022 года, ежегодно в период с сентября по июнь включительно проводятся по две 10-дневные смены.</t>
  </si>
  <si>
    <t>Ежегодно, с 2022 года, на базе образовательного центра проводятся по две 10-дневные смены, которые охватывают не менее 4 направлений культуры и искусства (количество участников 1 смены составляет не мене 200 человек). Увеличено число молодых деятелей культуры и искусства, обладающих личными профессиональными достижениями в различных творческих областях. Предоставлены возможности для творческой молодежи обучаться по расширенным образовательным программам от ведущих российских организаций в области культуры и искусства. Разработаны и ежегодно проводятся не менее 10 образовательных программ в рамках Форума молодых деятелей культуры и искусства "Таврида", в котором принимают участие не менее 3 500 молодых деятелей культуры и искусства, к разработке программ привлечено не менее 30 профильных партнерских организаций сферы культуры и искусства, разрабатывающих образовательные программы по профильным направлениям деятельности. Участие в образовательной программе приняли не менее 300 экспертов. Предоставлена возможность для молодых деятелей культуры и искусства получения информации по профильному направлению творчества от ведущих российских экспертов в области культуры и искусства. Проведены качественные экспертные отборы проектов среди творческой молодежи</t>
  </si>
  <si>
    <t>Проводится Фестиваль творческих сообществ "Таврида-АРТ" , участие в котором принимают не менее 30 тыс. человек. Ежегодное увеличение количества участников - 5 тыс. человек</t>
  </si>
  <si>
    <t>Ежегодно проводится площадка, знакомящая жителей страны с новыми молодыми талантами, которые готовы конкурировать с современными исполнителями и иными известными личностями в области культуры и искусства по различным творческим сферам, а также дополнять имеющийся творческий контент новыми достижениями. Участие, в том числе как зрители, принимают не менее 30 тыс. человек. Ежегодное увеличение количества участников - 5 тыс. человек</t>
  </si>
  <si>
    <t>Создан специализированный ресурс, предназначенный для взаимодействия с уполномоченными органами в части оперативной передачи данных о признаках противоправных действий в области информационных технологий (компьютерного мошенничества, навязанных услуг операторов связи, фишинговых схем) в целях противодействия компьютерной преступности, в том числе в финансовой сфере, а также иных случаев криминального и противоправного использования информационных технологий</t>
  </si>
  <si>
    <t>Создан специализированный ресурс, предназначенный для взаимодействия с уполномоченными органами в части оперативной передачи данных о признаках противоправных действий в области информационных технологий (компьютерного мошенничества, навязанных услуг операторов связи, фишинговых схем) в целях противодействия компьютерной преступности, в том числе в финансовой сфере, а также иных случаев криминального и противоправного использования информационных технологий.</t>
  </si>
  <si>
    <t>Создание и эксплуатация образовательного центра для молодых деятелей культуры и искусства «Арт-резиденция «Таврида»</t>
  </si>
  <si>
    <t>Спроектирована и построена площадка образовательного центра для молодых деятелей культуры и искусства «Арт- резиденция «Таврида»,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 .</t>
  </si>
  <si>
    <t>Наличие специализированного ресурса, на котором граждане могут разместить информацию о противоправных действиях в цифровой среде, поможет им получить своевременную и квалифицированную юридическую поддержку, что, в свою очередь, также повлияет и на уровень их цифровой грамотности. Таким образом, граждане не только будут защищены от различных цифровых угроз, но и смогут защитить свои информацию и денежные средства от злоумышленников.</t>
  </si>
  <si>
    <t>Создание и эксплуатация образовательного центра «Машук» на 300 человек единовременного пребывания в Северо-Кавказском федеральном округе</t>
  </si>
  <si>
    <t>Спроектирована и построена площадка образовательного центра «Машук» на 300 человек единовременного пребывания в Северо-Кавказском федеральном округе,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 .</t>
  </si>
  <si>
    <t>п.7 Приложения № 24 к ГП</t>
  </si>
  <si>
    <t>Е8 Федеральный проект "Социальная активность" (конец)</t>
  </si>
  <si>
    <t>Внесены изменения в Уголовный кодекс Российской Федерации, касающиеся расширения криминализации новых типов деяний, совершенных с использованием информационных технологий</t>
  </si>
  <si>
    <t>Внесены изменения в Уголовный кодекс Российской Федерации, касающиеся расширения криминализации новых типов деяний, совершенных с использованием информационных технологий.</t>
  </si>
  <si>
    <t>E2 ФП Успех каждого ребенка (начало)</t>
  </si>
  <si>
    <t>Создана система отраслевого регулирования использования киберфизических систем, включая устройств «Интернета вещей». Установлены требования по идентификации участников информационного взаимодействия, а также регистрации оборудования сетей устройств «Интернета вещей»</t>
  </si>
  <si>
    <t>Разработаны критерии оценки на предмет соответствия операционных систем отечественным или доверенным, в том числе на базе отечественных процессорных платформ.Утверждены нормативные правовые акты. Подготовлен аналитический отчет по вопросам идентификации пользователей коммуникационных и иных сервисов участников информационного взаимодействия, а также идентификации пользовательского "Интернета вещей", с описанием потребностей рынка в регулировании указанных видов идентификации. Разработан и утвержден нормативный правовой акт об идентификации пользователей коммуникационных и иных сервисов участников информационного взаимодействия, а также идентификации пользовательского "Интернета вещей".</t>
  </si>
  <si>
    <t>Созданы новые места в образовательных организациях различных типов для реализации дополнительных общеразвивающих программ всех направленностей</t>
  </si>
  <si>
    <t>Проведен отбор заявок субъектов Российской Федерации, показывающих низкий охват детей дополнительными общеобразовательными программами (менее 50% детей), на предоставление субсидий из федерального бюджета на обновление материально-технического обеспечения (софинансирование закупки средств обучения) существующей инфраструктуры системы дополнительного образования в соответствии с Методикой определения высокооснащенных мест для реализации образовательных программ в системе дополнительного образования детей (разработана в рамках реализации приоритетного проекта "Доступное дополнительное образование для детей").
При реализации мероприятий по созданию новых мест дополнительного образования детей указывается количество введеных ученико-мест, обеспечивающих повышение охвата детей в возрасте от 5 до 18 лет дополнительным образованием. За счет средств субсидии из федерального бюджета к концу 2019 года созданы 150 тыс. новых ученико-мест (к концу 2021 года - 900 тыс. нарастающим итогом) в образовательных организациях различных типов для реализации дополнительных общеразвивающих программ всех направленностей.
При расчете количества новых ученико-мест по отношению к создаваемым «физическим» местам в соответствии с Рекомендованным перечнем средств обучения, для создания новых ученико- мест учитываться среднее число групп детей (в среднем по Российской Федерации - 6 групп), которые могут быть набраны на обучение по дополнительной общеразвивающей программе в течение учебного года в соответствующем населенном пункте с учетом социально-демографической ситуации, исходя из данных приложения No 3 «Рекомендуемый режим занятии детей в организациях дополнительного образовании» санитарно-эпидемиологических требований к устройству, содержанию и организации режима работы образовательных организаций дополнительного образования детей» 2.4.4.3172-14, утвержденных постановлением главного государственного санитарного врача Российской Федерации от 4 июля 2014 года No 41 и Методики определения высокооснащенных мест для реализации образовательных программ в системе дополнительного образования детей, утвержденной руководителем приоритетного проекта «Доступное дополнительное образование для детей», заместителем Министра образования и науки Российской Федерации 1 июня 2017 года.
Значение количества создаваемых ученико-мест, обеспечивающих повышение охвата детей в возрасте от 5 до 18 лет дополнительным образованием,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</si>
  <si>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Приложение 5. Пункт 2, подпункт "в"</t>
  </si>
  <si>
    <t>Создание новых мест в образовательных организациях предполагает улучшение доступа к образованию. Также, возможно создание дополнительных рабочих мест для специалистов в области образования для обеспечения новых мест в образовательных организациях кадровым составом. Эти факторы оказывают содействие социально-экономическому развитию регионов.</t>
  </si>
  <si>
    <t>Обеспечен контроль обработки и доступа к персональным, большим пользовательским данным, в том числе в социальных сетях и прочих средствах социальной коммуникации, а также возможность отзыва или уменьшения объёма ранее данного согласия на обработку персональных данных</t>
  </si>
  <si>
    <t>Создание новых мест в образовательных организациях может предполагать создание новых рабочих мест для преподавателей и управленцев в сфере образования. Доходы граждан, занятых на данных позициях, могут увеличиться. 
В долгосрочной перспективе, получение образования в рамках дополнительных общеразвивающих программ может способствовать увеличению будущих доходов.</t>
  </si>
  <si>
    <t>Мероприятие предполагает появление возможности отзыва или уменьшения ранее данного согласия на обработку персональных данных. Таким образом, граждане, которые по какой-либо причине не хотят, чтобы удаленный сервис получал их конфиденциальную информацию, касающуюся, в том числе, данных о банковских картах и других платежных средствах, смогут контролировать использование таких данных. В случае, если ресурс, которому ранее выдавалось такое разрешение, окажется небезопасным, граждане смогут защитить свои денежные средства.</t>
  </si>
  <si>
    <t>073 07 03 02 4 E2 54910 521</t>
  </si>
  <si>
    <t>Разработаны, приняты, гармонизированы и реализованы стандарты обработки массивов больших данных, стандарты информационной безопасности в системах, реализующих облачные, туманные, квантовые технологии, в системах виртуальной и дополненной реальности, и технологии искусственного интеллекта. Утверждение новых межгосударственных стандартов и изменений в действующие стандарты в сфере информационной безопасности для стран ЕАЭС</t>
  </si>
  <si>
    <t>Не менее чем 12 млн. детей приняли участие в открытых онлайн-уроках, реализуемых с учетом опыта цикла открытых уроков "Проектория", направленных на раннюю профориентацию</t>
  </si>
  <si>
    <t>Разработаны программы открытых онлайн- уроков, реализуемых с учетом опыта и моделей образовательных онлайн платформ, в том числе "Проектория", за счет федеральной поддержки, а также "Сириус.Онлайн", "Уроки настоящего" и других аналогичных платформ, направленных на раннюю профессиональную ориентацию обучающихся. В рамках программ проведены уроки, в которых к концу 2024 года ежегодно принимают участие не менее 12 млн. детей. Одновременно с целью выявления и распространения лучших практик проведены ежегодные конкурсные отборы лучших открытых онлайн-уроков, направленных на раннюю профориентацию, создание условий для самоопределения в выборе будущего профессионального пути, а также обеспечивающих сопровождение процесса выстраивания индивидуального учебного плана для участников уроков, в том числе представителями отраслей производственной сферы, общественности, реального сектора экономики, ведущих университетов, включая студентов - получателей грантов Президента Российской Федерации. Реализация мероприятий будет осуществляться в том числе на базе предпрофильных классов.</t>
  </si>
  <si>
    <t xml:space="preserve">Развитие дополнительного образования детей и реализация мероприятий молодежной политики </t>
  </si>
  <si>
    <t>Приложение 1. Цель, сроки (этапы) ФП "Успех каждого ребенка"</t>
  </si>
  <si>
    <t>Д</t>
  </si>
  <si>
    <t>Групп</t>
  </si>
  <si>
    <t>Мероприятий в группах</t>
  </si>
  <si>
    <t>%</t>
  </si>
  <si>
    <t>Мероприятий вне групп</t>
  </si>
  <si>
    <t>073 07 09 02 4 E2 04200 611</t>
  </si>
  <si>
    <t>Не менее 900 тыс. детей получили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с учетом реализации проекта "Билет в будущее"</t>
  </si>
  <si>
    <t>Создана и функционирует система мер ранней профориентации, которая обеспечивает ознакомление обучающихся 6-11 классов с современными профессиями, позволяет определить профессиональные интересы детей, получить рекомендации по построению индивидуального учебного плана. Система основывается на реализации дополнительных общеобразовательных программ, включающих в себя механизмы профессиональных проб и работу с лучшими представителями профессий, а также использования цифровых инструментов (сводное электронное портфолио). За счет средств федерального бюджета реализуются мероприятия в рамках реализации проекта по ранней профессиональной ориентации учащихся 6 - 11 классов общеобразовательных организаций "Билет в будущее", с охватом обучающихся 6-11 классов (нарастающим итогом с 2018 года): 2019 год - не менее 200 тыс. детей; 2020 год - не менее 300 тыс. детей; 2021 год - не менее 400 тыс. детей; 2022 год - не менее 550 тыс. детей; 2023 год - не менее 700 тыс. детей; 2024 год - не менее 900 тыс. детей.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 Реализация мероприятий будет осуществляться в том числе на базе предпрофильных классов.</t>
  </si>
  <si>
    <t>Разработаны требования к операторам промышленного Интернета, проекты стандартов безопасности для киберфизических систем, включая устройства «Интернета вещей»</t>
  </si>
  <si>
    <t>Разработаны требования к операторам промышленного Интернета, проекты стандартов безопасности для киберфизических систем, включая устройства «Интернета вещей».</t>
  </si>
  <si>
    <t>073 07 09 02 4 E2 60447 632</t>
  </si>
  <si>
    <t>Для 935 тыс. детей в не менее чем в 7000 общеобразовательных организаций, расположенных в сельской местности и малых городах, обновлена материально-техническая база для занятий физической культурой и спортом</t>
  </si>
  <si>
    <t>Проведен отбор субъектов Российской Федерации на предоставление субсидий из федерального бюджета на обновление материально- технической базы (закупка средств обучения и услуг по приведению в нормативное состояние помещений спортивных залов) в общеобразовательных организациях, расположенных в сельской местности и малых городах, с учетом существующего регионального опыта определения уровня оснащения материально- технической базы общеобразовательных организаций, расположенных в сельской местности и населенных пунктах, численность населения которых не превышает 50 тыс. человек (в том числе поселки городского типа), для реализации программ по предмету "Физическая культура".
Реализация мероприятий обновлению материально- технической базы в общеобразовательных организациях, расположенных в сельской местности и малых городах, проводится по следующим направлениям: ремонт спортивных залов, перепрофилирование имеющихся аудиторий под спортивные залы для занятия физической культурой и спортом, развитие школьных спортивных клубов, оснащение спортивным инвентарем и оборудованием открытых плоскостных спортивных сооружений. К 2024 году на обновленной материально-технической базе в не менее чем 7000 общеобразовательных организациях не менее 935 тыс. детей (нарастающим итогом к 2018 году) обучаются по обновленным программам по предмету "Физическая культура", а также дополнительным общеобразовательным программам, реализуемым во внеурочное время.</t>
  </si>
  <si>
    <t xml:space="preserve">Развитие дошкольного и общего образования </t>
  </si>
  <si>
    <t>073 07 02 02 2 E2 50970 521</t>
  </si>
  <si>
    <t>Созданы детские технопарки "Кванториум"</t>
  </si>
  <si>
    <t>К 2024 году будут функционирует не менее 245 детских технопарков "Кванториум" (нарастающим итогом к 2016 году), с охватом (вместе с охватом мобильными технопарками "Кванториум") не менее 2 млн. детей, участвующих в мероприятиях, реализуемых технопарками, и (или) осваивающих современные дополнительные общеобразовательные программы естественнонаучной и технической направленности, в том числе (нарастающим итогом к 2016 году): в 2019 году - 385 тыс. детей; в 2020 году - 550 тыс. детей; в 2021 году - 800 тыс. детей; в 2022 году - 950 тыс. детей; в 2023 году - 1100 тыс. детей.
Проведен отбор заявок субъектов Российской Федерации на предоставление субсидий из федерального бюджета на создание детских технопарков "Кванториум".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реализованы мероприятия по созданию детских технопарков "Кванториум" в соответствии с утвержденными Минпросвещения России методическими рекомендациями.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
Значение количества детских технопарков "Кванториум"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</si>
  <si>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Приложение 18. Цели и целевые индикаторы ФП "Успех каждого ребенка"</t>
  </si>
  <si>
    <t>Обеспечено развитие значимых платежных систем и обеспечение их информационной безопасности, в том числе в части использования в них российских криптографических средств</t>
  </si>
  <si>
    <t>073 07 03 02 4 E2 51730 521</t>
  </si>
  <si>
    <t xml:space="preserve">Разработана методология (целевая модель)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 в том числе с применением лучших практик обмена опытом между обучающимися  </t>
  </si>
  <si>
    <t>Проведен анализ лучших мировых практик наставничества, а также опыта субъектов Российской Федерации. К концу 2019 года разработана и направлена в субъекты Российской Федерации методология (целевая модель) наставничества, в том числе обучающихся организаций, осуществляющих образовательную деятельность по дополнительным общеобразовательным программам с применением лучших практик обмена опытом между обучающимися разных возрастов. По итогам утверждения методологии субъектами Российской Федерации утверждаются планы мероприятий по внедрению методологии наставничества для обучающихся.</t>
  </si>
  <si>
    <t>Не менее 70% детей с ограниченными возможностями здоровья осваивают дополнительные общеобразовательные программы, в том числе с использованием дистанционных технологий</t>
  </si>
  <si>
    <t>К 2024 году обеспечено доведение доли детей с ограниченными возможностями здоровья, охваченных программами дополнительного образования, в том числе с использованием дистанционных технологий, до 70% от общего числа детей указанной категории. Субъектами Российской Федерации (органами местного самоуправления) сформированы и реализуются мероприятия (в том числе в рамках региональных проектов) по поэтапному вовлечению детей с ограниченными возможностями здоровья в дополнительное образование, в том числе информационные кампании, разработка и обеспечение внедрения дистанционных образовательных программ, мероприятия по развитию инфраструктуры для детей с ОВЗ и другие. Организациями, реализующими дополнительные общеобразовательные программы, обеспечивается разработка и внедрение дополнительных общеобразовательных программ, в том числе с использованием дистанционных технологий, разработанных с учетом лучших практик.</t>
  </si>
  <si>
    <t>Созданы условия для развития образования в области информационной безопасности в интересах реализации задач цифровой экономики</t>
  </si>
  <si>
    <t>073 07 03 02 4 E2 04300 244</t>
  </si>
  <si>
    <t>Созданы региональные центры выявления, поддержки и развития способностей и талантов у детей и молодежи, с учетом опыта Образовательного фонда "Талант и успех"</t>
  </si>
  <si>
    <t>Проведен отбор заявок субъектов Российской Федерации на создание в субъектах Российской Федерации региональных центров выявления, поддержки и развития способностей и талантов у детей и молодежи, функционирующих с учетом опыта Образовательного фонда "Талант и успех".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реализованы мероприятия по созданию центров выявления, поддержки и развития способностей и талантов у детей и молодежи в соответствии с утвержденными Минпросвещения России совместно с Образовательным фондом "Талант и успех" методическими рекомендациями. К 2024 году центры созданы в каждом субъекте Российской Федерации. Каждый из центров обеспечивает охват не менее 5% обучающихся по образовательным программам основного и среднего общего образования в соответствующих субъектах Российской Федерации (в том числе до 1% обучающихся по направлению «Спорт»), в том числе программами дополнительного образования детей, проводимыми на регулярной (еженедельной) основе, профильными региональными сменами, программами с применением дистанционных технологий, а также в центрах проводятся на регулярной основе особо значимые региональные мероприятия по выявлению выдающихся способностей и высокой мотивации у детей и молодежи.
На платформе "Сириус.Онлайн" с использованием сведений Государственного информационного ресурса о детях, проявивших выдающиеся способности, функционирует банк сводных электронных портфолио одаренных детей, обеспечивающий основу для их дальнейшего сопровождения и построения индивидуального учебного плана.</t>
  </si>
  <si>
    <t xml:space="preserve">Мероприятие будет способствовать обретению и повышению знаний, компетенций, навыков, общей квалификации, а также переобучению граждан в соответствии с требованиями современной цифровой экономики. Впоследствии граждане будут иметь возможность применить эти навыки на рынке труда, что позволит повысить их уровень благосостояния. </t>
  </si>
  <si>
    <t>073 07 03 02 4 E2 51890 521</t>
  </si>
  <si>
    <t>Созданы ключевые центры дополнительного образования детей,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или обеспечивающих деятельность центров компетенций Национальной технологической инициативы</t>
  </si>
  <si>
    <t>Проведен отбор заявок субъектов Российской Федерации на создание центров,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 образовательных центров мирового уровня, международных математических центров, выполняющих исследования и разработки по актуальным направлениям развития математики с участием российских и зарубежных ведущих ученых, или обеспечивающих деятельность центров компетенций Национальной технологической инициативы (как структурных подразделений образовательной организации высшего образования, имеющей соответствующую лицензию на осуществление обучения по дополнительным общеобразовательным программам для детей).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совместно с образовательными организациями высшего образования реализованы мероприятия по созданию центров в соответствии с методическими рекомендациями Минпросвещения России. Центры, используя возможности образовательных организаций высшего образования (кадровые, инфраструктурные, материально-технические), обеспечивают обучение детей по актуальным дополнительным общеобразовательным программам, в том числе в рамках решения кадровых задач Стратегии научно- технологического развития Российской Федерации. К реализации дополнительных общеобразовательных программ в таких центрах привлечены преподаватели и научные сотрудники образовательных организаций высшего образования. К концу 2024 года создано не менее 100 центров с охватом не менее 40 тыс. детей ежегодно (охват в 2019 г. составит не менее 6 тыс. человек, далее нарастающим итогом позволит достичь следующих значений: в 2020 г. - 12 тыс. человек, в 2021 г. - 18 тыс. человек, в 2022 г. - 24 тыс. человек, 2023 г. - 30 тыс. человек, 2024 г. - 40 тыс. человек).
Значение количества создаваемых центров,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 образовательных центров мирового уровня, международных математических центров, выполняющих исследования и разработки по актуальным направлениям развития математики с участием российских и зарубежных ведущих ученых, или обеспечивающих деятельность центров компетенций Национальной технологической инициативы,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</si>
  <si>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Определен перечень перспективных информационных технологий, в том числе в области информационной безопасности для их инвестиционной поддержки</t>
  </si>
  <si>
    <t>Определены приоритетные потребности страны в научных и технических достижениях, технологиях обеспечивающих решение задач национальной обороноспособности и безопасности, конкурентоспособности и мирового лидерства в области технологий информационной безопасности, исходя из стратегических целей социально-экономического и оборонного строительства. Обеспечено стимулирование развития высокотехнологичных и конкурентоспособных технологий и производств в рассматриваемой сфере за счет средств федерального бюджета и внебюджетных источников в целях обеспечения национальной обороноспособности и безопасности, конкурентоспособности и мирового лидерства.</t>
  </si>
  <si>
    <t>073 07 03 02 4 E2 51750 521</t>
  </si>
  <si>
    <t>Оказана поддержка организациям на реализацию пилотных проектов по обновлению содержания и технологий дополнительного образования по приоритетным направлениям, в том числе поддержаны проекты по организации летних школ, организованных российскими образовательными организациями, с участием не менее 18 тыс. детей и представителей молодежи из числа иностранных граждан</t>
  </si>
  <si>
    <t>Проведен отбор организаций, осуществляющих деятельность в сфере развития дополнительного образования детей, на реализацию пилотных проектов по обновлению содержания и технологий дополнительного образования по приоритетным направлениям, в том числе в целях поддержки проведения летних школ с участием детей и представителей молодежи из числа иностранных граждан, организованных российскими образовательными организациями с целью формирования у обучающихся навыков и компетенций, в том числе практических, соответствующих тематикам проведения летних школ. Летние школы проводятся с целью поддержки инициативной и талантливой молодежи, создания особой социокультурной среды, сообществ обучающихся, их проведение обеспечит продвижение лучших российских образовательных проектов в мировом сообществе, а также создаст благоприятные условия для повышения уровня глобальной конкурентоспособности российского образования. Организация и проведение летних школ обеспечит вовлечение детей и молодежи из числа иностранных граждан, в том числе: в 2020 году - 2 тыс. человек; в 2021 году - 5 тыс. человек; в 2022 году - 8 тыс. человек; в 2023 году - 12 тыс. человек; в 2024 году - 18 тыс. человек.</t>
  </si>
  <si>
    <t>Приложение 13 (1). Пункт 2, подпункт "а".</t>
  </si>
  <si>
    <t>Определение перечня перспективных информационных технологий позволит высокотехнологичным предприятиям российских регионов рассчитывать на получение инвестиционной поддержки. Увеличение финансирования может способствовать развитию таких предприятий, повышению их эффективности, из-за чего увеличится и их прибыль, а также уровень заработной платы работников таких предприятий, либо количество рабочих мест для специалистов, обладающих необходимой квалификацией.</t>
  </si>
  <si>
    <t>073 07 09 02 4 E2 62352 613</t>
  </si>
  <si>
    <t>Проведены всероссийские и международные олимпиады школьников, в целях обеспечения подготовки российских сборных команд, в том числе проведена Международная математическая олимпиада в Санкт-Петербурге</t>
  </si>
  <si>
    <t>Определена площадка проведения Международной математической олимпиады в Санкт-Петербурге 1 октября 2020 года. Обеспечено участие в олимпиаде российских школьников, а также иностранных участников по результатам отборочного тура. Проведение олимпиады позволит: - обеспечить позиционирование Российской Федерации на мировом уровне как ведущей страны в области преподавания математики; - создать условия для развития математического образования в Российской Федерации с учетом международного опыта; - совершенствовать организационные и методические условия функционирования олимпиадного движения в Российской Федерации. В целях в развития олимпиадного движения школьников будет в целях обеспечения результата будет продолжена реализация ведомственного проекта «Олимпиадное движение школьников», в том числе обеспечено проведение этапов всероссийской олимпиады школьников и комплектование сборных команд на международные этапы олимпиад.</t>
  </si>
  <si>
    <t>Определены методики оценки показателей развития информационно-телекоммуникационных технологий и радиоэлектронной отрасли, их текущих и целевых значений</t>
  </si>
  <si>
    <t>Утвержден перечень показателей развития информационно-телекоммуникационных технологий и радиоэлектронной отрасли. Утверждена методика оценки показателей развития информационно-телекоммуникационных технологий и радиоэлектронной отрасли.Определены текущие значения показателей развития информационно-телекоммуникационных технологий и радиоэлектронной отрасли.</t>
  </si>
  <si>
    <t>073 07 09 02 4 E2 04100 123</t>
  </si>
  <si>
    <t>Созданы мобильные технопарки "Кванториум" (для детей, проживающих в сельской местности и малых городах)</t>
  </si>
  <si>
    <t>К концу 2024 году будут функционировать не менее 340 мобильных технопарков "Кванториум" (для детей, проживающих в сельской местности и малых городах).
Проведен отбор заявок субъектов Российской Федерации на предоставление субсидий из федерального бюджета на создание мобильных детских технопарков "Кванториум".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реализованы мероприятия по созданию мобильных детских технопарков "Кванториум" в соответствии с утвержденными Минпросвещения России методическими рекомендациями.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
Значение количества мобильных технопарков "Кванториум"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</si>
  <si>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Приложение 5. Пункт 2, подпункт "ж"</t>
  </si>
  <si>
    <t>073 07 03 02 4 E2 52470 521</t>
  </si>
  <si>
    <t>Во всех субъектах Российской Федерации внедрена целевая модель развития региональных систем дополнительного образования детей</t>
  </si>
  <si>
    <t>В соответствии с поручением президиума Совета при Президенте Российской Федерации по стратегическому развитию и приоритетным проектам (п. 2 протокола от 29 марта 2018 г. No 3) на основе лучших практик субъектов Российской Федерации сформирована целевая модель региональной системы дополнительного образования. К концу 2021 года основные положения целевой модели развития региональных систем дополнительного образования детей внедрены во всех субъектах Российской Федерации, в том числе за счет финансовой поддержки из федерального бюджета и внебюджетных источников субъектам Российской Федерации до 2024 года, с учетом специфики территорий и позволит создать нормативно-правовые, организационные и методические условия для развития системы дополнительного образования детей в целях достижения показателей федерального проекта. Реализация целевой модели предусматривает внедрение механизмов адресной поддержки отдельных категорий детей, в том числе оказавшихся в трудной жизненной ситуации, для получения доступного дополнительного образования и реализации талантов детей из малообеспеченных семей, а также проведение мониторинга доступности дополнительного образования с учетом индивидуальных потребностей и особенностей детей различных категорий (в том числе талантливых детей, детей с ограниченными возможностями здоровья, детей, проживающих в сельской местности, детей из семей, находящихся в трудной жизненной ситуации, детей из малоимущих семей).
Значение динамики числа субъектов Российской Федерации, внедривших целевую модель региональной системы дополнительного образования,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</si>
  <si>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073 07 03 02 4 E2 55370 521</t>
  </si>
  <si>
    <t>Разработаны и внедрены методические рекомендации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образовательной организации, в том числе в обновлении образовательных программ</t>
  </si>
  <si>
    <t>Разработка и внедрение к концу 2019 года методических рекомендаций (целевой модели)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образовательной организации дополнительного образования детей на основе созданной целевой модели вовлечения общественно- деловых объединений и представителей работодателей в управление развитием образовательными организациями, в том числе через представительство в коллегиальных органах управления и посредством участия в обновлении образовательных программ, позволит: - расширить практику участия представителей общественно- делового сообщества и работодателей, в том числе реального сектора экономики, в управлении деятельностью образовательных организаций; - повысить эффективность управления образовательными организациями, в том числе в части финансово- экономического управления, а также контроля качества образовательной деятельности.</t>
  </si>
  <si>
    <t>Законодательно закреплены нормы, обеспечивающие преференции для компьютерного, серверного и телекоммуникационного оборудования и программного обеспечения отечественного производства при осуществлении закупок для государственных и муниципальных нужд и осуществления закупок отдельными видами юридических лиц. Приняты нормативные правовые (правовые) акты, определяющие описание типовых объектов закупок компьютерного, серверного и телекоммуникационного оборудования, осуществляемых для обеспечения государственных и муниципальных нужд</t>
  </si>
  <si>
    <t>Не менее чем 70% обучающихся организаций, осуществляющих образовательную деятельность по дополнительным общеобразовательным программам, вовлечены в различные формы наставничества</t>
  </si>
  <si>
    <t>Вовлечение к концу 2024 года не менее 70% обучающихся организаций, осуществляющих образовательную деятельность по дополнительным общеобразовательным программам, в различные формы наставничества позволит создать условия для формирования активной гражданской позиции у каждого обучающегося, а также достичь целевых установок национального проекта "Образование" в части воспитания гармонично развитой и социально ответственной личности на основе духовно-нравственных ценностей народов Российской Федерации, исторических и национально-культурных традиций.</t>
  </si>
  <si>
    <t>Обязанность государственных и муниципальных учреждений производить закупки исключительно отечественного оборудования положительно скажется на развитии соответствующих предприятий, что увеличит их прибыль. Это может привести к росту уровня заработной платы работников таких предприятий, либо количества рабочих мест для специалистов, обладающих необходимой квалификацией.</t>
  </si>
  <si>
    <t>К 2024 году обучающимся 5-11 классов предоставлены возможности освоения основных общеобразовательных программ по индивидуальному учебному плану, в том числе в сетевой форме, с зачетом результатов освоения ими дополнительных общеобразовательных программ и программ профессионального обучения</t>
  </si>
  <si>
    <t>Внесены изменения в нормативно-правую базу с целью предоставления возможностей зачета результатов освоения обучающимися дополнительных общеобразовательных программ и программ профессионального обучения в рамках основных общеобразовательных программ.
Перечень нормативно-правовых актов, подлежащих изменению, определяется на начальном этапе реализации проекта. Освоение основных общеобразовательных программ по индивидуальному учебному плану, в том числе в сетевой форме, с зачетом результатов освоения дополнительных общеобразовательных программ и программ профессионального обучения, в том числе с использованием дистанционных технологий, позволит к концу 2024 года создать для обучающихся 5-11 классов эффективные и "гибкие" механизмы освоения указанных программ, которые обеспечат оптимизацию учебного времени обучающихся, высвободив его для мероприятий по саморазвитию и профессиональному самоопределению.</t>
  </si>
  <si>
    <t>073 07 03 02 4 E2 04400 244</t>
  </si>
  <si>
    <t xml:space="preserve">Обеспечено информационное сопровождение национального проекта "Образование"  </t>
  </si>
  <si>
    <t xml:space="preserve">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 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"Целевая образовательная среда"
</t>
  </si>
  <si>
    <t>Создана система стимулов для приобретения и использования компьютерного, серверного и телекоммуникационного оборудования отечественного производства</t>
  </si>
  <si>
    <t>E2 ФП Успех каждого ребенка (конец)</t>
  </si>
  <si>
    <t>Система стимулов для приобретения и использования отечественного оборудования положительно скажется на развитии соответствующих предприятий, что увеличит их прибыль. Это может привести к росту уровня заработной платы работников таких предприятий, либо количества рабочих мест для специалистов, обладающих необходимой квалификацией.</t>
  </si>
  <si>
    <t>id_ГП</t>
  </si>
  <si>
    <t>В целях обеспечения национальной безопасности нормативно обеспечена предустановка отечественных антивирусных программ на все персональные компьютеры, ввозимые и создаваемые на территории Российской Федерации</t>
  </si>
  <si>
    <t>Методика проведения выбора антивирусным программ, допускаемым к установке на персональные компьютеры, ввозимые и создаваемые на территории Российской Федерации. Утверждена концепции проектов нормативных правовых актов, регулирующих вопросы предустановки отечественных антивирусных программ на все персональные компьютеры, ввозимые и создаваемые на территории Российской Федерации. Утвержден нормативный правовой акт, регулирующий вопрос предустановки отечественных антивирусных программ на все персональные компьютеры, ввозимые и создаваемые на территории Российской Федерации.</t>
  </si>
  <si>
    <t>E6 ФП Молодые профессионалы (начало)</t>
  </si>
  <si>
    <t>Проведен Мировой чемпионат по профессиональному мастерству по стандартам Ворлдскиллс в 2019 году в г. Казани</t>
  </si>
  <si>
    <t>В соответствии с распоряжением Правительства Российской Федерации от 22 апреля 2016 г. № 750-р в 2019 году в г. Казани впервые на территории Российской Федерации пройдет Мировой чемпионат по профессиональному мастерству по стандартам Ворлдскиллс. В чемпионате примут участие не менее 1630 участников соревнований и 1500 экспертов из не менее 76 стран мира, в том числе национальная сборная Российской Федерации. Будут достигнуты целевые индикаторы плана основных мероприятий по подготовке и проведению мирового чемпионата по профессиональному мастерству по стандартам "Ворлдскиллс" в г. Казани в 2019 году, в том числе достижение 1 млн. человек, привлеченных к движению "Ворлдскиллс" через развитие системы чемпионатов. Кроме того, проведение чемпионата позволит: - продемонстрировать конкурентоспособность среднего профессионального образования Российской Федерации; - обеспечить сбор и распространение лучших мировых практик реализации образовательных программ среднего профессионального образования среди профессиональных образовательных организаций в Российской Федерации.</t>
  </si>
  <si>
    <t>Логичная связь между проведением чемпионата и достижением указанных национальных целей не прослеживается.</t>
  </si>
  <si>
    <t>Проведен мониторинг использования российскими компаниями - производителями компьютерного, серверного и телекоммуникационного оборудования отечественных комплектующих, включая электронную компонентную базу (ЭКБ)</t>
  </si>
  <si>
    <t>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t>
  </si>
  <si>
    <t>В соответствии с Порядком проведения государственной итоговой аттестации по образовательным программам среднего профессионального образования, утвержденным Приказом Минобрнауки России от 16 августа 2013 г. № 968 к концу 2024 года увеличено, по сравнению с 2018 годом, число обучающиеся, завершающих освоение основных профессиональных образовательных программ среднего профессионального образования и проходящих государственную итоговую аттестацию в виде демонстрационного экзамена до не менее чем 25 %. Реализация мероприятий федерального проекта будет направлена на формирование обновленных содержательных, организационно- методологических, материально-технических условий для прохождения аттестации с использованием механизма демонстрационного экзамена, что позволит поэтапно достичь следующих результатов охвата обучающихся накопительным итогом:
2019 г. - 5% обучающихся;
2020 г. - 6% обучающихся;
2021 г. - 8% обучающихся;
2022 г. - 13% обучающихся;
2023 г. - 18% обучающихся;
2024 г. - 25% обучающихся.</t>
  </si>
  <si>
    <t>Логичная связь между прохождением обучающими аттестации с использованием механизма демонстрационного экзамена и достижением указанных национальных целей не прослеживается.</t>
  </si>
  <si>
    <t>Создано 100 центров опережающей профессиональной подготовки</t>
  </si>
  <si>
    <t>В соответствии с поручением Президента Российской Федерации от 6 апреля 2018 г. № Пр-580 (п. 1 в) Центр опережающей профессиональной подготовки (далее - ЦОПП) создается, в том числе на базе лучших профессиональных образовательных организаций (как самостоятельные организации или структурные подразделения существующих организаций, реализующих дополнительные образовательные программы для взрослых, программы профессиональной подготовки и переподготовки кадров, программы профессиональной ориентации), с предоставлением им возможности: - использования совместно с другими профессиональными образовательными организациями современного оборудования для подготовки, переподготовки и повышения квалификации граждан по наиболее востребованным и перспективным профессиям на уровне, соответствующем стандартам "Ворлдскиллс", в том числе по программе ускоренного обучения; - реализации программ повышения квалификации педагогов и мастеров производственного обучения профессиональных образовательных организаций; - проведения демонстрационного экзамена по стандартам "Ворлдскиллс" для лиц, освоивших образовательные программы среднего профессионального образования; - осуществления мероприятий по профессиональной ориентации лиц, обучающихся в общеобразовательных организациях, а также обучения их первой профессии. В целях эффективности реализации мероприятий Минпросвещения России в первой половине 2019 года будут сформированы методические рекомендации, определяющие основные принципы создания и функционирования центров опережающей профессиональной подготовки. К концу 2024 года во всех субъектах Российской Федерации за счет средств федеральной поддержки планируется создать 100 центров опережающей подготовки (расходы на формирование современных условий труда для сотрудников ЦОПП, в том числе средства на закупку рабочих мест для сотрудников ЦОПП, оборудования для реализации мероприятий с участием общеобразовательных организаций и профессиональных образовательных организаций, а также на расходные материалы для обеспечения их деятельности), что позволит: - выстроить систему эффективной подготовки и дополнительного профессионального образования по профессиям, в том числе для сдачи демонстрационного экзамена с учетом опыта Союза Ворлдскиллс Россия; - обеспечить подготовку квалифицированных рабочих, служащих и специалистов среднего звена в соответствии с современными стандартами и передовыми технологиями, в том числе стандартами Ворлдскиллс Россия; - оказать влияние на рост конкурентоспособности среднего профессионального образования Российской Федерации на международном уровне. Внедрение программ модернизации образовательных организаций, реализующих образовательные программы среднего профессионального образования, в целях ликвидации дефицита квалифицированных рабочих кадров, позволит: - обеспечить качество среднего профессионального образования на уровне, сопоставимом с лучшими мировыми практиками, и при этом ответить на вызовы текущих и прогнозируемых кадровых дефицитов; - с учетом стратегий регионального развития реализовать меры по развитию инфраструктуры, кадрового потенциала, созданию современных условий для реализации профессиональных образовательных программ. Значение количества ЦОПП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</si>
  <si>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Развитие системы профессиональной подготовки способствует повышению уровня профессионального мастерства  рабочих и служащих, что может способствовать их трудоустройству и росту уровня оплаты труда</t>
  </si>
  <si>
    <t xml:space="preserve">По мере приближения к пост-индустриальному типу профессиональная ориентированность системы образования будет нарастать. Существует непосредственная связь между уровнем и характером образования и экономическими показателями и, соответственно, система образования должна быть, в первую очередь, направлена на удовлетворение нужд экономики и рынка труда. Вследствие быстрого изменения сферы профессиональной занятости и неопределенности тенденций развития отраслевых рынков труда профессиональное образование приобретет фрагментарный характер. Распространение получат компактные учебные программы, весьма технологичные и операциональные, сугубо прагматические.
К. А.Сергеев «Влияние образовательной составляющей человеческого капитала на экономическое развитие субъектов РФ» (https://cyberleninka.ru/article/n/vliyanie-obrazovatelnoy-sostavlyayuschey-chelovecheskogo-kapitala-na-ekonomicheskoe-razvitie-subektov-rf)
.В.Диденко, З.Е.Дорофеева «Дополнительное профессиональное образование в России: динамика масштабов и экономической эффективности (2000–2013 гг.)» (https://cyberleninka.ru/article/n/dopolnitelnoe-professionalnoe-obrazovanie-v-rossii-dinamika-masshtabov-i-ekonomicheskoy-effektivnosti-2000-2013-gg)
</t>
  </si>
  <si>
    <t>Создано 5000 мастерских, оснащенных современной материально-технической базой по одной из компетенций</t>
  </si>
  <si>
    <t>Создание мастерских, оснащенных современной материально-технической базой по одной из компетенций, осуществляется во исполнение поручения Президента Российской Федерации по итогам встречи с членами национальной сборной России по профессиональному мастерству от
21 сентября 2015 г. № Пр-1921 (пункт 1 "д")
по следующим направлениям:
- промышленные и инженерные технологии;
- информационные и коммуникационные технологии;
- строительство;
- обслуживание транспорта и логистика;
- искусство и дизайн;
- сфера услуг.
В целях эффективности реализации мероприятий Минпросвещения России в первой половине 2019 года будут определены организационно-правовой, финансово- экономической и методологической основы, определяющие основные принципы создания и функционирования мастерских.
На основании экспертных оценок востребованности групп профессий и специальностей, с учетом мониторинга качества подготовки кадров в соответствии с приоритетами развития российской экономики, определена следующая потребность в количестве мастерских по группам специальностей:
- промышленные и инженерные технологии (специализация: "Машиностроение, управление сложными техническими системами, обработка материалов") - 300 мастерских; - информационные и коммуникационные технологии - 400 мастерских; - строительство - 600 мастерских; - обслуживание транспорта и логистика - 600 мастерских; - искусство, дизайн и сфера услуг - 500 мастерских; - промышленные и инженерные технологии (специализация: "Автоматизация, радиотехника и электроника") - 200 мастерских; - сельское хозяйство - 400 мастерских; - социальная сфера - 2000 мастерских. Таким образом, к 2024 году планируется создание не менее 5 000 мастерских, оснащенных современной материально- технической базой по одной из компетенций (в том числе создание мастерских предполагает расходы на приобретение средств обучения, средств вычислительной техники и лицензионного программного обеспечения, интерактивного и презентационного оборудования, мебели и расходных материалов), что позволит: - выстроить систему эффективной подготовки и дополнительного профессионального образования по профессиям, в том числе для сдачи демонстрационного экзамена с учетом опыта Союза Ворлдскиллс Россия; - обеспечить подготовку квалифицированных рабочих, служащих и специалистов среднего звена в соответствии с современными стандартами и передовыми технологиями, в том числе стандартами Ворлдскиллс Россия; - оказать влияние на рост конкурентоспособности среднего профессионального образования Российской Федерации на международном уровне.
Значение количества мастерских, оснащенных современной материально- технической базой,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</si>
  <si>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Создана распределенная система управления и мониторинга информационной безопасности российского государственного сегмента сети "Интернет" с высокой производительностью системы очистки трафика</t>
  </si>
  <si>
    <t>Неизвестно</t>
  </si>
  <si>
    <t>Разработаны и внедрены методические рекомендации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профессиональной образовательной организации, в том числе в обновлении образовательных программ</t>
  </si>
  <si>
    <t>Разработанные к концу 2019 года путем предварительной апробации методические рекомендации (целевая модель) по механизмам вовлечения общественно- деловых объединений и участия представителей работодателей в принятии решений по вопросам управления развитием образовательных организаций, в том числе через представительство в коллегиальных органах управления развитием профессиональной образовательной организации и участие в обновлении образовательных программ, позволит: - усовершенствовать организационные, финансово- экономические и методические механизмы управления развитием профессиональными образовательными организациями; - обновить образовательные программы среднего профессионального образования в части включения практикоориентированных компонентов; - повысить уровень среднего профессионального образования; - повысить конкурентоспособность среднего профессионального образования.</t>
  </si>
  <si>
    <t>Разработана методология (целевая модель)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 в том числе с применением лучших практик обмена опытом между обучающимися и посредством привлечения к этой деятельности специалистов-практиков</t>
  </si>
  <si>
    <t>Разработка к концу 2019 года методологии наставничества в системе среднего профессионального образования, в том числе посредством привлечения к этой деятельности специалистов- практиков позволит: - сформировать организационно-методическую основу для внедрения и последующего развития механизмов наставничества в системе среднего профессионального образования; - обеспечить привлечение в роли наставников обучающихся по образовательным программам среднего профессионального образования работников предприятий и организаций, в том числе из реального сектора экономики; - обучающимся получить необходимые знания, а также на реальном примере специалистов-практиков сформировать личностные и профессиональные компетенции.</t>
  </si>
  <si>
    <t>Обновлены перечень профессий рабочих, должностей служащих, по которым осуществляется профессиональное обучение, перечни профессий и специальностей среднего профессионального образования, на основе актуализации Справочника профессий. 
 Обновлены федеральные государственные стандарты среднего профессионального образования</t>
  </si>
  <si>
    <t>Актуализацию перечня профессий рабочих, должностей служащих, по которым осуществляется профессиональное обучение и перечней профессий и специальностей среднего профессионального образования, на основе профессиональных стандартов, а также федеральных государственных образовательных стандартов среднего профессионального образования, планируется осуществлять поэтапно с предварительной апробацией в ряде субъектов Российской Федерации. Кроме того, планируется обеспечить появление профилей цифровых компетенций и соответствующих программ среднего профессионального образования с целью ускоренной подготовки кадров для цифровой экономики. Поэтапно планируется также внедрение нормативов финансового обеспечения обучения по программам среднего профессионального образования. Ожидаемыми результатами реализации указанных мероприятий станут: - функционирование системы подготовки кадров в соответствии с запросами реального сектора экономики, социальной сферы, сферы услуг, малого предпринимательства и др.; - внедрение современных методик и программ преподавания по общеобразовательным дисциплинам в системе среднего профессионального образования, учитывающих образовательные потребности обучающихся организаций среднего профессионального образования; - получение обучающимися актуальных знаний, а также формирование необходимых личностных и профессиональных качеств; - оказание благоприятного влияния на социально- экономическое развитие соответствующих субъектов Российской Федерации; - повышение конкурентоспособности профессионального образования Российской Федерации на международном уровне</t>
  </si>
  <si>
    <t>Созданы и функционируют информационные системы мониторинга маршрутов трафика в сети Интернет, мониторинга и управления сетью связи общего пользования и фильтрации интернет-трафика при использовании информационных ресурсов детьми</t>
  </si>
  <si>
    <t>Созданы и функционируют информационные системы мониторинга маршрутов трафика в сети Интернет, мониторинга и управления сетью связи общего пользования и фильтрации интернет-трафика при использовании информационных ресурсов детьми (2020 - отчет о выполнении работ созданию информационного сервиса; 2021 - информационный сервис введен в эксплуатацию).</t>
  </si>
  <si>
    <t>ИТ-система</t>
  </si>
  <si>
    <t>Обновлена инфраструктура Всероссийского учебно-тренировочного центра профессионального мастерства и популяризации рабочих профессий на базе Всероссийского детского центра "Смена"</t>
  </si>
  <si>
    <t>Начиная с 2020 года Минпросвещения России ежегодно предоставляет субсидии на иные цели Всероссийскому детскому центру "Смена" на развитие инфраструктуры Всероссийского учебно-тренировочного центра профессионального мастерства и популяризации рабочих профессий, что позволит уже к 30 сентября 2021 г. создать условия для: - обеспечения охвата не менее 4 тыс. человек ежегодно образовательными программами дополнительного образования, реализуемыми на базе Центра; - функционирования круглогодичной современной высокооснащенной базы по формированию у обучающихся необходимых общих и профессиональных компетенций; - для подготовки национальной сборной команды Российской Федерации к участию в международных соревнованиях.</t>
  </si>
  <si>
    <t>Во всех субъектах Российской Федерации внедрены программы профессионального обучения по наиболее востребованным и перспективным профессиям на уровне, соответствующем стандартам Ворлдскиллс, с учетом продолжительности программ не более 6 месяцев</t>
  </si>
  <si>
    <t>Внедрение к концу 2023 года во всех субъектах Российской Федерации основных программ профессионального обучения по наиболее востребованным и перспективным профессиям на уровне, соответствующем стандартам Ворлдскиллс, позволит: - создать систему подготовки кадров, в том числе обеспечивающую непрерывное получение гражданами профессиональных знаний; - обновить основные программы профессионального обучения в соответствии с современными и перспективными направлениями технического и социально-экономического развития; - сформировать профессиональный кадровый потенциал, отвечающий вызовам современности и будущего развития системы профессионального образования; - оказать благоприятное влияние на социально- экономическое развитие соответствующих субъектов Российской Федерации; - повысить конкурентоспособность профессионального образования Российской Федерации на международном уровне.</t>
  </si>
  <si>
    <t>Не менее 70% обучающихся организаций, осуществляющих образовательную деятельность по образовательным программам среднего профессионального образования, вовлечены в различные формы наставничества</t>
  </si>
  <si>
    <t>Внедрение с 1 июля 2020 г. апробированной методологии наставничества в системе среднего профессионального образования позволит к концу 2024 года вовлечь в различные формы наставничества не менее 70% обучающихся образовательных организаций, реализующих программы среднего профессионального образования. Реализованный комплекс мер позволит: - обеспечить привлечение в роли наставников обучающихся по образовательным программам среднего профессионального образования работников предприятий и организаций, в том числе из реального сектора экономики; - обучающимся получить необходимые знания, а также на реальном примере специалистов-практиков сформировать личностные и профессиональные компетенции.</t>
  </si>
  <si>
    <t>Разработаны стандарты обеспечения информационной безопасности микропроцессорных систем управления для автомобильного, железнодорожного и авиационного транспорта, расположенных на транспортной инфраструктуре</t>
  </si>
  <si>
    <t>Создание устойчивой и безопасной информационно-телекоммуникационной инфраструктуры высокоскоростной передачи, обработки и хранения больших объемов данных, доступной для всех организаций и домохозяйств</t>
  </si>
  <si>
    <t>Не менее 35 тыс. преподавателей (мастеров производственного обучения) прошли повышение квалификации по программам, основанным на опыте Союза Ворлдскиллс Россия, из них не менее 10 тыс. преподавателей (мастеров производственного обучения) сертифицированы в качестве экспертов Ворлдскиллс</t>
  </si>
  <si>
    <t>К концу 2024 года не менее 35 тыс. преподавателей (мастеров производственного обучения) прошли повышение квалификации по программам, основанным на опыте Союза Ворлдскиллс Россия. Кроме того, не менее 10 тыс. из них сертифицированы в качестве экспертов Ворлдскиллс (2019 г. - 0,8 тыс. человек; 2020 г. - 2 тыс. человек; 2021 г. - 4 тыс. человек; 2022 г. - 6 тыс. человек; 2023 г. - 8 тыс. человек; 2024 г. - 10 тыс. человек нарастающим итогом). Проведение данных мероприятий позволит: - создать условия для стимулирования роста профессионального мастерства преподавателей (мастеров производственного обучения); - сформировать высокоэффективный кадровый потенциал преподавателей (мастеров производственного обучения); - оказать влияние на рост конкурентоспособности профессионального образования Российской Федерации на международном уровне; - обеспечить формирование пула экспертов, сертифицированных для проведения демонстрационных экзаменов и подготовки команд к чемпионатам по профессиональному мастерству.</t>
  </si>
  <si>
    <t>Реализуются мероприятия по ежегодному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t>
  </si>
  <si>
    <t>Ежегодное проведение конкурса профессионального мастерства среди инвалидов и людей с ограниченными возможностями здоровья "Абилимпикс" позволит: - сформировать скоординированную систему межведомственного взаимодействия по развитию инклюзивного профессионального образования; - оценить качество профессиональной подготовки инвалидов и людей с ограниченными возможностями здоровья; - обновить содержание адаптивных образовательных программ через развитие ресурсных учебно-методических центров; - повысить мотивацию к обучению, саморазвитию и трудоустройству у инвалидов и людей с ограниченными возможностями здоровья; - подготовить национальную сборную для участия в международных и национальных чемпионатах профессионального мастерства для людей с инвалидностью.</t>
  </si>
  <si>
    <t>Проведена ротация и конкурсный отбор университетов, получающих государственную поддержку в целях повышения их конкурентоспособности среди ведущих мировых научно-образовательных центров (далее соответственно - ведущие университеты, глобальная конкурентоспособность), не менее 30 университетов получают государственную поддержку (не менее 1 в каждом федеральном округе и не менее чем в 10 субъектах Российской Федерации); сформированы (актуализированы) их программы развития ("дорожные карты") с учетом национальных целей Российской Федерации до 2024 года</t>
  </si>
  <si>
    <t>С целью достижения показателя, утвержденного Указом Президента Российской Федерации от 7 мая 2012 г. №
599 "О мерах по реализации государственной политики в области образования и науки", по обеспечению вхождения к 2020 году не менее пяти российских университетов в первую сотню ведущих мировых университетов в перспективе до 2020 года включительно в соответствии с постановлением Правительства Российской Федерации от 16 марта 2013 года
№ 211 "О мерах государственной поддержки ведущих университетов Российской Федерации в целях повышения их конкурентоспособности среди ведущих мировых научно-образовательных центров" будет предоставляться государственная поддержка 21 университету, отобранному по результатам конкурсов в 2013 и 2015 годах. В 2019 году по итогам анализа результативности реализации университетами "дорожных карт" по повышению конкурентоспособности среди ведущих мировых научно-образовательных центров за 2018 год и с учетом решений совета по повышению международной конкурентоспособности будет проведена ротация университетов по объемам финансирования реализации "дорожных карт" в 2020 году. Ротация обеспечит концентрацию ресурсов на вузах, наиболее успешных в достижении указанного целевого ориентира, а также повышение эффективности расходования средств федерального бюджета.  Достижение цели по обеспечению глобальной конкурентоспособности российского образования в соответствии с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обуславливает необходимость дальнейшей реализации мер государственной поддержки российских университетов в целях повышения их международной конкурентоспособности.  В течение 2020 года будет обновлена нормативная правовая база, регламентирующая предоставление такой государственной поддержки, включая условия и критерии отбора университетов, а также состав совета по повышению международной конкурентоспособности.  Также в 2020 году будет проведен конкурсный отбор в целях предоставления, начиная с 2021 года, государственной поддержки университетам на реализацию программ развития ("дорожных карт") по повышению международной конкурентоспособности и обеспечению в 2024 году 10 места России в мире по присутствию университетов в топ-500 глобальных рейтингов университетов. Расширение рейтингового диапазона позволит большему числу российских университетов (не менее 30), имеющих ресурс развития, нацеленных на повышение международной конкурентоспособности и уже попавших в публикуемую часть глобальных рейтингов без целевой государственной поддержки, получить серьезный финансовый ресурс на закрепление своих достижений и дальнейшее развитие, что в целом должно обеспечить усиление и устойчивость позиций России в мировом научно-образовательном пространстве.  Объем государственной финансовой поддержки университетов будет определяться, исходя из объема средств федерального бюджета, которые предоставлялись на поддержку программ и проектов развития университетов в 2009 - 2020 годах.</t>
  </si>
  <si>
    <t>Разработана концепция создания единой среды мониторинга защищенности транспортных средств и грузов от деструктивных воздействий</t>
  </si>
  <si>
    <t>Создание устойчивой и безопасной информационно-телекоммуникационной инфраструктуры высокоскоростной передачи, обработки и хранения больших объемов данных, доступной для всех организаций и домохозяйств (2020 г. - отчет о подготовке проекта концепции; 2021г. - итоговый отчет).</t>
  </si>
  <si>
    <t>К 2024 году каждый ведущий университет (не менее 30), получающий государственную поддержку в целях повышения своей глобальной конкурентоспособности, обеспечивает достижение следующих показателей:
 - вхождение не менее двух лет подряд в топ-1000 глобальных институциональных рейтингов;
 - вхождение не менее двух лет подряд в топ-200 как минимум одного предметного или отраслевого глобального рейтинга;
 - размещение не менее 10 открытых онлайн-курсов на международных платформах онлайн-образования с общим числом слушателей по каждому курсу не менее 5000 не менее чем из 5 стран; 
 - доля научно-педагогических работников в возрасте до 35 лет составляет не менее 20% от общего числа научно-педагогических работников;
 - доля студентов, поступивших на обучение по программам магистратуры и имеющих высшее образование, полученное в других образовательных организациях высшего образования, составляет не менее 30% от общего числа поступивших в магистратуру;
 - общий конкурс по университету при приеме на обучение по программам магистратуры составляет не менее 3 человек на место;
 - не менее 40% выпускников по программам аспирантуры защищают диссертации на соискание ученой степени кандидата наук (или ее зарубежных аналогов) не позднее года с момента завершения обучения;
 - сформирован фонд целевого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t>
  </si>
  <si>
    <t>Предусмотрено установление системы показателей, достижение которых должны обеспечить университеты, ориентированные на мировые стандарты развития и получающие государственную поддержку, начиная с 2021 года, с целью продвижения в глобальных рейтингах.
Достижение показателей будет обеспечиваться в рамках мероприятий "дорожных карт" университетов по повышению глобальной конкурентоспособности, направленных прежде всего на реализацию экспортно ориентированных и наукоемких
образовательных программ, внедрение новых образовательных форматов и технологий, наращивание кадрового потенциала за счет омоложения кадрового состава, развития российской и международной академической мобильности (привлечения зарубежных и российских ученых - лидеров в исследовательских областях, организации стажировок научно-педагогических работников в зарубежных и российских университетах и исследовательских центрах), повышения эффективности подготовки научно-педагогических кадров в  аспирантуре.  Установленные значения показателей должны обеспечить вклад каждого университета в достижение российской системой высшего образования в 2024 году 10 места в мире по присутствию университетов в топ-500 глобальных рейтингов университетов. Комплексная оценка динамики роста глобальной конкурентоспособности российской системы высшего образования будет обеспечиваться в рамках ежегодного мониторинга эффективности реализации "дорожных карт" университетов, а также подведения итогов их реализации на ежегодных заседаниях совета по повышению международной конкурентоспособности.</t>
  </si>
  <si>
    <t>Разработан и внедрен механизм присвоения категории "национальный исследовательский университет" образовательным организациям высшего образования и регулярного подтверждения присвоенной категории</t>
  </si>
  <si>
    <t>В 2020 году будет проведена комплексная оценка эффективности реализации утвержденных сроком на 10 лет программ развития университетов, в отношении которых установлена категория
"национальный исследовательский университет" по итогам конкурсных отборов 2009 и 2010 годов. По итогам комплексной
оценки Правительством Российской Федерации будут приняты решения по механизму регулярного обновления состава указанных университетов с целью повышения эффективности функционирования сети образовательных организаций высшего образования и глобальной конкурентоспособности российской системы высшего образования за счет обеспечения конкурентных условий получения университетами нормативно установленных преференций (расчет текущего финансирования деятельности с учетом повышающих коэффициентов в составе базовых нормативов затрат на оказание государственных услуг по реализации образовательных программ; право самостоятельно разрабатывать и утверждать образовательные стандарты по всем уровням высшего образования). Механизм присвоения и подтверждения категории "национальный исследовательский университет" будет предусматривать набор требований, в том числе имеющих количественные характеристики, которым должны отвечать университеты, имеющие указанную категорию или претендующие на ее получение.
Существенное увеличение объемов финансового обеспечения текущей деятельности позволит университетам, имеющим статус "национальных исследовательских университетов", направить дополнительные ресурсы прежде всего на развитие кадрового потенциала.</t>
  </si>
  <si>
    <t>Реализованы пилотные проекты в сфере железнодорожного транспорта в рамках разработки концепции создания единой среды мониторинга защищенности транспортных средств и грузов от деструктивных воздействий</t>
  </si>
  <si>
    <t>Сформирован перечень, включающий не менее 80 образовательных организаций высшего образования не менее чем из 40 субъектов Российской Федерации, обеспечивающих подготовку кадров для базовых отраслей экономики и социальной сферы, в том числе в целях предоставления государственной поддержки</t>
  </si>
  <si>
    <t>В 2019 году на основе анализа результатов реализации приоритетного проекта "Вузы как центры пространства создания инноваций" в части эффективности государственной поддержки региональных университетов будет определен набор требований (в том числе имеющих количественные характеристики) к оценке потенциала университетов, предусматривающий обеспечение высокого качества подготовки кадров для базовых отраслей экономики и социальной сферы субъектов Российской Федерации, активное участие университетов в реализации стратегической повестки развития регионов и включающий параметры образовательной, научно-исследовательской и инновационной деятельности, финансовой устойчивости, кадрового потенциала. На основе указанного набора требований будет проведена комплексная оценка потенциала университетов, по результатам которой будет сформирован перечень университетов, имеющих право претендовать на получение государственной поддержки.</t>
  </si>
  <si>
    <t>К 2024 году каждая образовательная организация высшего образования (не менее 80), обеспечивающая подготовку кадров для базовых отраслей экономики и социальной сферы, достигает следующих показателей:
 - совместно с партнерами реального сектора экономики разрабатывает адаптивные, практико-ориентированные и гибкие образовательные программы высшего образования, которые обеспечивают получение студентами профессиональных компетенций, отвечающих актуальным требования рынка труда, в том числе в области цифровой экономики, предпринимательства, командной и проектной работы, здоровьесбережения применительно к их будущим областям профессиональной деятельности;
 - не менее 70% научно-педагогических работников постоянно обновляют свои профессиональные знания и компетенции на основе актуальных достижений науки и технологий, современных профессиональных требований, перспективных задач отрасли;
 - не менее 70% работников из числа профессорско-преподавательского состава участвуют в исследованиях и разработках по вопросам, относящимся к предмету преподавания, привлекают к этим исследованиям обучающихся;
 - наличие программ развития, разработанных совместно с органами государственной власти субъектов Российской Федерации, предусматривающих в том числе трудоустройство выпускников в данных субъектах Российской Федерации (за исключением городов Москвы и Санкт-Петербурга);
 - не менее 10% выпускников трудоустраиваются на основе договора о целевом обучении (за исключением городов Москвы и Санкт-Петербурга);
 - сформирован фонд целевого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t>
  </si>
  <si>
    <t>В 2020 году будет проведен конкурсный отбор с целью предоставления государственной поддержки на реализацию программ и проектов развития университетов, разработанных совместно с органами государственной власти субъектов Российской Федерации и обеспечивающих подготовку кадров для базовых отраслей экономики и социальной сферы. Ключевыми условиями предоставления государственной поддержки будет являться модернизация образовательной деятельности, прежде всего, в части разработки и реализации гибких образовательных программ, обеспечивающих мобильность выпускника на рынке труда за счет качества сформированности компетенций в области цифровой экономики, предпринимательства, командной и проектной работы,  здоровьесбережения, и адаптивных, практико- ориентированных образовательных программ, которые обеспечат получение студентами профессиональных компетенций, отвечающих актуальным требования рынка труда и потребностям работодателей; формирование системы непрерывного профессионального роста научно-педагогических работников в партнерстве с организациями реального сектора экономики; включенность в стратегическую повестку научно-технологического развития. Комплексная оценка эффективности подготовки кадров университетами для базовых отраслей экономики и социальной сферы субъектов Российской Федерации будет обеспечиваться в рамках ежегодного мониторинга реализации программ и проектов развития университетов, а также законодательно установленного ежегодного мониторинга деятельности образовательных организаций высшего образования.</t>
  </si>
  <si>
    <t>На конкурсной основе ежегодно отбирается не менее 30 научно-педагогических работников из университетов, входящих в топ-200 предметных глобальных рейтингов, которым предоставляются гранты для:
 - разработки передовых образовательных программ высшего образования и их отдельных частей (рабочих программ, модулей, курсов и т.д.) по приоритетным направлениям подготовки кадров, специальностям с учетом запросов партнеров реального сектора экономики и мировых научно-технологических трендов;
 - тиражирования данных образовательных программ (образовательного контента) не менее чем в 30 российских образовательных организациях высшего образования и научных организациях (за исключением организаций, расположенных в Москве и Санкт-Петербурге), в том числе с использованием механизмов сетевой формы реализации образовательных программ;
 - повышения квалификации и стажировки научно-педагогических работников не менее чем в 30 российских образовательных организаций высшего образования и научных организаций (за исключением организаций, расположенных в Москве и Санкт-Петербурге) в целях дальнейшей реализации ими данных образовательных программ (образовательного контента).</t>
  </si>
  <si>
    <t>В целях повышения качества реализуемых образовательных программ высшего образования, мотивации научно- педагогических работников к разработке новых образовательных программ (их отдельных частей), не имеющих аналогов в российской системе высшего образования и учитывающих результаты передовых научных исследований и разработок, а также в целях кадрового обеспечения формирования и развития высокотехнологичных секторов российской экономики, начиная с 2019 года, ежегодно будет предоставляться грантовая поддержка на разработку, реализацию и тиражирование экспортно ориентированных, междисциплинарных образовательных программ высшего образования и их отдельных частей (рабочих дисциплин, модулей, курсов и т.д.) по приоритетным направлениям подготовки кадров, специальностям высшего образования с учетом запросов партнеров реального сектора экономики и мировых научно-технологических трендов, а также гибких образовательных программ и их отдельных частей, направленных на формирование компетенций в области цифровой экономики, предпринимательства, командной и проектной работы, здоровьесбережения. Гранты будут предоставляться на конкурсной основе на период до двух лет как отдельному разработчику, так и группе преподавателей. Обязательным условием грантовой поддержки будет являться разработка онлайн- курсов и их размещение как на глобальных образовательных платформах, так и на российских образовательных платформах, интегрированных с государственной информационной системой "Современная цифровая образовательная среда", с целью привлечения иностранных слушателей и обеспечения максимальной доступности на территории Российской Федерации разработанного образовательного контента. Тиражирование разработанных образовательных программ (их отдельных частей) будет осуществляться в том числе через повышение квалификации и стажировку научно-педагогических работников университетов, на базе которых будет в дальнейшем осуществляться реализация образовательных программ (их отдельных частей). Будет проводиться ежегодная оценка эффективности тиражирования разработанных образовательных программ (их отдельных частей).</t>
  </si>
  <si>
    <t>Проведены научно-исследовательские и научно-методические работы по темам определения потребности в кадрах в области информационной безопасности, разработке методического аппарата оценки степени подготовленности государственных гражданских служащих и актуализации существующих и разработка новых профессиональных стандартов</t>
  </si>
  <si>
    <t>Обеспечен свободный доступ (бесплатный для пользователей) по принципу "одного окна" для всех категорий граждан, обучающихся по образовательным программам высшего образования и дополнительным профессиональным программам, к онлайн-курсам, реализуемым различными организациями, осуществляющими образовательную деятельность, и образовательными платформами.</t>
  </si>
  <si>
    <t>В 2020 году будет создана и введена в эксплуатацию государственная информационная система "Современная цифровая образовательная среда" (далее - система) на базе информационного ресурса (портала), обеспечивающего доступ по принципу "одного окна" к онлайн-курсам, реализуемым различными образовательными платформами, с целью широкого и качественного внедрения онлайн- технологий в образовательный процесс, расширения возможностей реализации персональных образовательных траекторий, обеспечения доступности образовательного онлайн- контента. Мероприятия по развитию системы в перспективе до 2024 года предусматривают: интеграцию системы с другими государственными информационными системами, внедрение сервисных решений в области повышения качества онлайн-курсов, оценки результатов освоения онлайн-курсов, взаимодействия участников цифровой образовательной среды.</t>
  </si>
  <si>
    <t>Обеспечена возможность формирования индивидуальных портфолио обучающихся на созданной платформе "Современная цифровая образовательная среда", в том числе за счет использования набора сервисных и интеграционных решений</t>
  </si>
  <si>
    <t>В 2019 году на базе информационного ресурса (портала) "Современная цифровая образовательная среда", обеспечивающего доступ по принципу "одного окна" к онлайн-курсам, реализуемым различными образовательными платформами, будет внедрено типовое техническое решение по формированию цифровых индивидуальных портфолио обучающихся с целью обеспечения фиксации образовательных достижений, профессиональных компетенций, а также позиционирования на рынке труда за счет обеспечения доступа работодателей к цифровым портфолио обучающихся.</t>
  </si>
  <si>
    <t>К 2024 году не менее 20% обучающихся по образовательным программам высшего образования осваивают отдельные курсы, дисциплины (модули), в том числе в формате онлайн-курсов, с использованием ресурсов иных организаций, осуществляющих образовательную деятельность, в том числе университетов, обеспечивающих соответствие качества подготовки обучающихся мировому уровню</t>
  </si>
  <si>
    <t>Будет обеспечено развитие сетевого взаимодействия университетов, виртуальной академической мобильности обучающихся за счет широкого внедрения онлайн-технологий. Обучающиеся вне зависимости от места обучения и проживания будут иметь возможность доступа к лучшему образовательному контенту страны, наиболее мотивированные обучающиеся используют возможность проектирования персональных образовательных траекторий.</t>
  </si>
  <si>
    <t>1.21</t>
  </si>
  <si>
    <t>Созданы испытательные лаборатории (экспертные лаборатории, учебные центры) для обеспечения информационной безопасности национальных сетей связи с использованием квантовых криптографических технологий</t>
  </si>
  <si>
    <t>Созданы испытательные лаборатории (экспертные лаборатории, учебные центры) для обеспечения информационной безопасности национальных сетей связи с использованием квантовых криптографических технологий.</t>
  </si>
  <si>
    <t>К 2024 году не менее 15% научно-педагогических работников университетов, входящих в топ-500 глобальных институциональных рейтингов, участвуют в реализации образовательных программ других организаций, осуществляющих образовательную деятельность по образовательным программам высшего образования, в том числе посредством онлайн-курсов</t>
  </si>
  <si>
    <t>Будет обеспечено привлечение научно- педагогических работников университетов, представленных в глобальных рейтингах, к реализации образовательных программ высшего образования в региональных университетах с целью трансляции лучших образовательных и исследовательских практик, повышению качества образования, развитию сетевого взаимодействия университетов.</t>
  </si>
  <si>
    <t>1.22</t>
  </si>
  <si>
    <t>Внедрена система мониторинга трудоустройства выпускников организаций, осуществляющих образовательную деятельность по образовательным программам высшего образования, учитывающая удовлетворенность работодателей качеством подготовки выпускников в разрезе указанных организаций и реализуемых ими образовательных программ, а также соответствие направлений подготовки региональным рынкам труда и отраслевой структуре экономики, с учетом сектора самозанятости.</t>
  </si>
  <si>
    <t>В 2022 году будет запущена модернизированная система мониторинга трудоустройства выпускников организаций (представленная на сайте graduate.edu.ru), осуществляющих образовательную деятельность по образовательным программам высшего образования, учитывающая специфику регионального рынка труда, мнение работодателей о качестве подготовки выпускников. Это повысит эффективность прогнозирования кадровой потребности, планирования объемов и структуры контрольных цифр приема. С учетом результатов мониторинга трудоустройства выпускников планируется внесение изменений в правила установления организациям, осуществляющим образовательную деятельность, контрольных цифр приема по направлениям подготовки и специальностям высшего образования, в части учета результатов трудоустройства выпускников в разрезе направлений подготовки, региональных рынков труда, отраслевой структуры экономики с учетом сектора самозанятости.</t>
  </si>
  <si>
    <t>1.23</t>
  </si>
  <si>
    <t>Реализованы общесистемные механизмы (не менее 2) повышения глобальной конкурентоспособности российского высшего образования</t>
  </si>
  <si>
    <t>Начиная с 2019 года, планируется комплексно обновить нормативную правовую базу, регулирующую образовательные отношения в сфере высшего образования, и обеспечить информационно-консультационную поддержку ее применения; обеспечить ежегодное проведение мониторинга деятельности образовательных организаций высшего образования с  целью принятия управленческих решений на основе данных мониторинга; обеспечить условия повышения эффективности управления образовательными организациями высшего образования. К 2024 году будут обеспечены общесистемные условия повышения глобальной конкурентоспособности российского высшего образования.</t>
  </si>
  <si>
    <t>1.24</t>
  </si>
  <si>
    <t>Создано и функционирует в Академии криптографии Российской Федерации специализированное подразделение, осуществляющее информационно-аналитическое обеспечение и координацию участия российских экспертов в деятельности основных международных организаций, осуществляющих разработку международных документов по стандартизации в области криптографии и безопасности информационных технологий</t>
  </si>
  <si>
    <t>Создано и функционирует в Академии криптографии Российской Федерации специализированное подразделение, осуществляющее информационно-аналитическое обеспечение и координацию участия российских экспертов в деятельности основных международных организаций, осуществляющих разработку международных документов по стандартизации в области криптографии и безопасности информационных технологий.</t>
  </si>
  <si>
    <t>Проведена подготовка, проведение и обеспечено участие российской сборной в чемпионатах по профессиональному мастерству, проводимых международной организацией "WorldSkills International"</t>
  </si>
  <si>
    <t>Реализован ежегодный комплекс мероприятий, направленных на подготовку, проведение и обеспечение участия российской сборной в чемпионатах по профессиональному мастерству, проводимых международной организацией "WorldSkills International", который ежегодно обеспечивает позицию Российской Федерации в международном соревновательном рейтинге стран, готовящих выпускников (молодых специалистов) по современным требованиям в совокупном балльном исчислении не ниже 3.</t>
  </si>
  <si>
    <t>1.25</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</si>
  <si>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 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 Целевая образовательная среда"</t>
  </si>
  <si>
    <t>1.26</t>
  </si>
  <si>
    <t>Проведен X Международный чемпионат «Абилимпикс» в Российской Федерации в 2021 году</t>
  </si>
  <si>
    <t>Характеристика результата отсутствует в ФП</t>
  </si>
  <si>
    <t>Создан опытный образец первой очереди государственной информационной системы национальной базы знаний индикаторов вредоносной активности</t>
  </si>
  <si>
    <t>Создан опытный образец первой очереди государственной информационной системы национальной базы знаний индикаторов вредоносной активности.</t>
  </si>
  <si>
    <t>1.27</t>
  </si>
  <si>
    <t>Национальная база знаний индикаторов вредоносной активности может поспособствовать получению гражданами информации о том, как определить, были подвержены их устройства такой активности или нет. Это позволит им своевременно предпринять необходимые действия для защиты персональной информации в целом, и платежной информации, в частности.</t>
  </si>
  <si>
    <t>Проведен европейский чемпионат по профессиональному мастерству по стандартам «Ворлдскиллс» в г. Санкт-Петербурге в 2022 году</t>
  </si>
  <si>
    <t>В чемпионате примут участие не менее 1000 человек, в том числе с приглашением иностранных команд. Индикаторы плана основных мероприятий по подготовке и проведению мирового чемпионата по профессиональному мастерству по стандартам "Ворлдскиллс" в г. Санкт- Петербурге в 2022 году:  - продемонстрировать конкурентоспособность среднего профессионального образования Российской Федерации;  - обеспечить сбор и распространение лучших мировых практик реализации образовательных программ среднего профессионального образования среди профессиональных образовательных организаций в Российской Федерации.</t>
  </si>
  <si>
    <t>1.28</t>
  </si>
  <si>
    <t>E6 ФП Молодые профессионалы (конец)</t>
  </si>
  <si>
    <t>Разработаны архитектура и прототип антивирусного мультисканера для проверки на наличие признаков вредоносной активности, определены необходимые ресурсы, проведена его опытная эксплуатация</t>
  </si>
  <si>
    <t>Разработаны архитектура и прототип антивирусного мультисканера для проверки на наличие признаков вредоносной активности, определены необходимые ресурсы, проведена его опытная эксплуатация.</t>
  </si>
  <si>
    <t>E7 ФП Новые возможности для каждого (начало)</t>
  </si>
  <si>
    <t>Создана интеграционная платформа непрерывного образования (профессиональное обучение и дополнительное образование) и набор сервисов, обеспечивающих навигацию и поддержку граждан при выборе образовательных  программ и организаций, осуществляющих образовательную деятельность</t>
  </si>
  <si>
    <t>Интеграционная платформа непрерывного образования и набор сервисов, которые будут введены в эксплуатацию в 2020 году, являются основным инструментом сопровождения и поддержки системы непрерывного обновления работающими гражданами своих профессиональных знаний и приобретения ими новых профессиональных навыков. Интеграционная платформа непрерывного образования предусматривает навигационный функционал в целях реализации оптимальных для работающих граждан (в том числе инвалидов) образовательных маршрутов, позволяющих постоянно обновлять профессиональные навыки, в том числе востребованные на высокотехнологичном рынке труда, а также совершенствовать различные виды повседневной грамотности, повышающие качество жизни взрослого населения. Интеграционная платформа непрерывного образования будет являться навигатором в сфере программ профессионального обучения и дополнительных образовательных программ, организаций, осуществляющих образовательную деятельность, инновационных форм обучения в оффлайн и онлайн форматах. Платформа будет включать реестр программ непрерывного образования. Предусмотрено создание сервисов: обратной связи, обеспечивающих оценку наиболее качественных и востребованных программ и организаций и их рейтингование; формирования личного профиля пользователя в части профессиональных навыков и знаний, полученных в процессе непрерывного образования; взаимосвязи с работодателями (поиск сотрудника по набору профессиональных навыков) и другими сервисами по трудоустройству; обеспечивающих связь предлагаемых программ непрерывного образования с потребностями работодателей в части профессиональных знаний и профессиональных навыков сотрудников, требуемых для конкретных отраслей и регионов; прохождения по желанию пользователя индивидуального тестирования для формирования персональных рекомендаций о его особенностях, планирования профессиональной карьеры, выбора образовательной программы и формы обучения. Кроме того, будет разработан сервис для регулярного мониторинга базовых навыков и ключевых профессиональных компетенций взрослого населения. Интеграционная платформа непрерывного образования обеспечит доступность информации о качественном дополнительном образовании для взрослых, позволит повысить эффективность трудоустройства (включая самозанятость) и успешность внутри- и межрегиональной трудовой мобильности.</t>
  </si>
  <si>
    <t>Расширение доступа субъектов МСП к финансовым ресурсам, в том числе к льготному финансированию</t>
  </si>
  <si>
    <t>Разработан проект федерального закона о регулировании криптографической деятельности в Российской Федерации</t>
  </si>
  <si>
    <t>Разработан проект федерального закона о регулировании криптографической деятельности в Российской Федерации.</t>
  </si>
  <si>
    <t>Разработана и  внедрена система  грантовой поддержки образовательных организаций высшего образования с целью формирования и внедрения современных  программ непрерывного образования (дополнительных образовательных  программ и  программ профессионального обучения), обеспечивающих личностный  рост, расширение и обновление профессиональных знаний граждан и приобретения ими новых профессиональных навыков в соответствии с быстро меняющимися технологиями и условиями.</t>
  </si>
  <si>
    <t>В 2019 году будет разработана и внедрена система грантовой поддержки образовательных организаций высшего образования для обеспечения возможностей обновления работающими гражданами своих профессиональных навыков в соответствии с быстро меняющимися технологиями в интересах развития региональной экономики, увеличения инвестиционной привлекательности территорий.  Грантовая поддержка образовательным организациям высшего образования выделяется на конкурсной основе, предусматривает создание условий для расширения системы непрерывного образования, включая внедрение комплекса программ "полного цикла" по направлению (профилю) образования (в том числе программ профессионального обучения и дополнительных образовательных программ). Образовательные организации высшего образования, получившие грантовую поддержку, будут обеспечивать увеличение не менее чем вдвое численности обучающихся по современным программам непрерывного образования в период получения грантовой поддержки, а также не менее чем вдвое в течение трех лет после завершения грантовой поддержки.  Объем грантовой поддержки, период ее предоставления (не более 2 лет) и условия получения зависят от целевой аудитории привлекаемых слушателей, степени проработки содержания программ, участия в образовательном процессе в качестве преподавателей специалистов-практиков, подтверждения востребованности направлений обучения, в том числе для региональной экономики. Грантовая поддержка университетов реализуется на условиях софинансирования.  В рамках конкурсного отбора будут установлены дополнительные требования к доле образовательных программ, прошедших независимую экспертизу работодателей, и к условиям для обучения инвалидов.  При разработке критериев предоставления грантовой поддержки с целью расширения спектра программ непрерывного образования для граждан будет предусмотрен учет возможностей привлечения ресурсов подразделений вузов, реализующих программы СПО, а также ресурсов сетевого взаимодействия (программ в сетевой форме) вуза с организациями СПО и организациями ДПО, демонстрирующими лучшие практики востребованных направлений обучения (по рекомендации работодателей).  Конкурсный отбор образовательных организаций высшего образования для предоставления грантовой поддержки будет проводиться ежегодно.</t>
  </si>
  <si>
    <t>Осуществлена подготовка научно-педагогических работников и работников организаций-работодателей к реализации современных программ непрерывного образования (обучение по программам повышения квалификации прошли не менее 30 тыс. человек), в том числе, по годам нарастающим итогом:</t>
  </si>
  <si>
    <t>Будет организован конкурсный отбор дополнительных профессиональных программ повышения квалификации научно-педагогических работников, в том числе организаторов системы непрерывного образования, и работников организаций-работодателей. Программы для конкурсного отбора могут представлять любые организации, осуществляющие образовательную деятельность. Организациям, программы которых будут отобраны для реализации, будет выделено финансовое обеспечение на подготовку научно-педагогических работников, в том числе организаторов системы непрерывного образования, и работников организаций-работодателей.  Обучение научно-педагогических работников будет предусматривать овладение современными образовательными технологиями обучения взрослых, изучение возрастно-психологических и индивидуально-психологических особенностей граждан, в том числе инвалидов, а также стажировки на высокотехнологичных производствах, в организациях секторов экономики, значимых для региона.  Обучение работников организаций-работодателей будет направлено на овладение современными образовательными технологиями обучения взрослых, изучение возрастно-психологических и индивидуально-психологических особенностей граждан, в том числе инвалидов, а также на формирование компетенций наставников для молодых специалистов.  Будет предусмотрена отдельная подготовка научно-педагогических работников и работников организаций-работодателей по созданию, реализации и использованию онлайн-курсов, а также реализации программ в целях овладения компетенциями в области цифровой экономики (в рамках федерального проекта "Молодые профессионалы (Глобальная конкурентоспособность профессионального образования)"). Научно-педагогические работники и работники организаций-работодателей, подготовленные к реализации современных программ непрерывного образования, будут в дальнейшем принимать участие в развитии системы непрерывного обновления гражданами своих профессиональных навыков, в том числе для достижения результатов, предусмотренных п. 1.1 и 1.2.</t>
  </si>
  <si>
    <t>Не менее 20% научно-педагогических работников образовательных организаций высшего образования участвуют в реализации программ непрерывного образования (дополнительных образовательных программ и программ профессионального обучения).</t>
  </si>
  <si>
    <t>Увеличение доли научно-педагогических работников в реализации программ непрерывного образования (дополнительных образовательных программ и программ профессионального обучения) будет обеспечивать увеличение количества и разнообразия программ для населения. Будет предложен механизм стимулирования научно-педагогических работников к участию в реализации программ непрерывного образования, в том числе через включение соответствующих условий в трудовые договоры. Будут разработаны методические рекомендации по стимулированию научно-педагогических работников образовательных организаций высшего образования к реализации программ непрерывного образования. Показатель участия научно-педагогических работников в реализации программ непрерывного образования будет включен в показатели мониторинга деятельности образовательных организаций высшего образования. Для расширения форматов реализации системы непрерывного обновления гражданами профессиональных навыков и знаний будет сформирована организационно-правовая модель, обеспечивающая для граждан возможность изучения в университетах отдельных дисциплин (модулей) с последующим прохождением аттестации.</t>
  </si>
  <si>
    <t>Оказана финансовая поддержка органам государственной власти субъектов Российской Федерации по реализации требований № 187-ФЗ "О безопасности критической информационной инфраструктуры" в не менее, чем в одном пилотном субъекте</t>
  </si>
  <si>
    <t>Оказана финансовая поддержка органов государственной власти субъектов Российской Федерации по реализации требований №187-ФЗ "О безопасности критической информационной инфраструктуры" в не менее, чем в одном пилотном субъекте.</t>
  </si>
  <si>
    <t>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t>
  </si>
  <si>
    <t>Расширение охвата граждан непрерывным образованием на базе образовательных организаций высшего образования достигается реализацией всего комплекса мероприятий федерального проекта. С 2019 года ежегодно будет осуществляться грантовая поддержка образовательных организаций высшего образования с целью формирования и внедрения современных программ непрерывного образования (дополнительных образовательных программ и программ профессионального обучения), обеспечивающих личностный рост, расширение и обновление профессиональных знаний граждан и приобретения ими новых профессиональных навыков в соответствии с быстро меняющимися технологиями и условиями. С 2020 года будет функционировать Платформа и набор сервисов, позволяющие гражданам формировать индивидуальные образовательные траектории для непрерывного обновления своих профессиональных знаний и приобретения ими новых профессиональных навыков. Сервисы Платформы будут использоваться, в том числе, для проведения регулярного мониторинга базовых навыков и ключевых компетенций граждан в целях обеспечения систематической актуализации программ непрерывного образования. Предусмотрены мероприятия по популяризации среди населения и работодателей дополнительного профессионального образования и дополнительного образования взрослых, в том числе в целях овладения компетенциями в области цифровой экономики. Расширение вовлеченности граждан в систему непрерывного образования будет осуществляться за счет разработки программ для граждан предпенсионного и пенсионного возраста, а также для трудовых мигрантов, осуществляющих свою деятельность на территории Российской Федерации. Для стимулирования граждан к непрерывному обновлению профессиональных навыков и знания предусматривается разработка нормативных правовых актов, регламентирующих процедуры признания результатов самообразования, в том числе образования на рабочем месте, а также иных обучающих мероприятий по обновлению профессиональных знаний и навыков, не относящихся к образовательной деятельности в соответствии с пунктом 17 статьи 2 Федерального закона "Об образовании в Российской Федерации" (далее - "неформальное образование") а также их зачета в образовательных программах среднего профессионального и высшего образования. Для расширения охвата граждан непрерывным образованием также может быть использован сертификат на услуги в социальной сфере. В рамках программ и проектов развития университетов, получающих государственную поддержку, предусмотрена разработка образовательных модулей программ непрерывного образования для широкого использования в образовательных организациях высшего образования. Систематизация и распространение эффективных практик организации систем непрерывного образования образовательными организациями высшего образования будут реализованы посредством разработки методических рекомендаций по созданию типовых моделей центров непрерывного обновления компетенций. Мониторинг развития систем непрерывного образования в образовательных организациях высшего образования будет обеспечен включением соответствующих показателей в показатели мониторинга деятельности образовательных организаций высшего образования в целях дальнейшего принятия управленческих решений. Кроме того, будет внедрен мониторинг системы непрерывного обновления работающими гражданами профессиональных навыков и знаний. В мониторинг будут включены результаты реализации мероприятий федеральных проектов национальных проектов "Образование", "Наука", "Здравоохранение", "Цифровая экономика", "Повышение производительности труда", программ, направленных на обновление гражданами профессиональных компетенций.</t>
  </si>
  <si>
    <t>Обеспечено информационное сопровождение реализации федерального проекта «Новые возможности для каждого».</t>
  </si>
  <si>
    <t>В рамках результата будет реализована кампания, направленная на информационное обеспечение результатов федерального проекта "Новые возможности для каждого". В рамках информационной кампании будет обеспечено привлечение пользователей интеграционн ой платформы непрерывного образования, а также популяризация среди населения и работодателей дополнительных профессиональных программ и программ дополнительного образования взрослых, в том числе в целях овладения компетенциями в области цифровой экономики.</t>
  </si>
  <si>
    <t>Разработаны и реализованы меры по выделению грантов аспирантам и молодым ученым и проведению научно-образовательных и проектных мероприятий в области информационной безопасности для задач цифровой экономики</t>
  </si>
  <si>
    <t>АНО «Центр компетенций по импортозамещению в сфере информационно-коммуникационных технологий» выполнены отдельные мероприятия национальной программы «Цифровая экономика Российской Федерации»</t>
  </si>
  <si>
    <t>Разработан и утвержден механизм поддержки функционирования Центра компетенций по импортозамещению в сфере информационно-коммуникационных технологий.</t>
  </si>
  <si>
    <t>Осуществлена поддержка экспортно-ориентированных российских производителей продуктов и услуг ИКТ</t>
  </si>
  <si>
    <t>1. Предложения по продвижению отечественных решений в области информационной безопасности за рубежом одобрены.2. Определена система мер поддержки российских производителей продуктов и услуг ИКТ, осуществляющих патентование продуктов за рубежом.</t>
  </si>
  <si>
    <t>E7 ФП Новые возможности для каждого (конец)</t>
  </si>
  <si>
    <t>Развитие сети национальных медицинских исследовательских центров и внедрение инновационных медицинских технологий</t>
  </si>
  <si>
    <t>Разработана модель угроз информационной безопасности для персональных устройств сбора биометрических данных (холтер, браслеты, часы, фитнес-трекеры и пр.) и дорожная карта по обеспечению информационной безопасности при использовании гражданами указанного класса технических средств в Российской Федерации</t>
  </si>
  <si>
    <t>Разработана модель угроз информационной безопасности для персональных устройств сбора биометрических данных (холтер, браслеты, часы, фитнес-трекеры и пр.) и дорожная карта по обеспечению информационной безопасности</t>
  </si>
  <si>
    <t>Е4 ФП "Цифровая образовательная среда" (начало)</t>
  </si>
  <si>
    <t>Содействие занятости женщин - создание условий дошкольного образования для детей в возрасте до трех лет</t>
  </si>
  <si>
    <t>Создание современной и безопасной цифровой образовательной среды, обеспечивающей высокое качество и доступность образования всех видов и уровней</t>
  </si>
  <si>
    <t>Создан и функционирует Центр цифровой трансформации образования</t>
  </si>
  <si>
    <t>Центр цифровой трансформации образования планируется создать к 1 мая 2019 г. с учетом регионального опыта и успешных практик. Функциональные особенности Центра заключаются в организационном, нормативно-правовом, кадровом и финансово-экономическом сопровождении реализации мероприятий настоящего федерального проекта, в том числе: - координации и методическом сопровождении создания информационных систем в рамках национального проекта "Образование"; - информационно-методическое, экспертное сопровождение реализации мероприятий федерального проекта, сопровождение органов исполнительной власти субъектов Российской Федерации в рамках реализации федерального проекта, в том числе сопровождение внедрения современных цифровых технологий в образовательный процесс. - реализация мероприятий по внедрению целевой модели цифровой образовательной среды в субъектах Российской Федерации; - разработка и внедрение федеральной информационно-сервисной платформы цифровой образовательной среды; - создание центров цифрового образования "IT-куб".</t>
  </si>
  <si>
    <t xml:space="preserve">Е
</t>
  </si>
  <si>
    <t>Е4</t>
  </si>
  <si>
    <t>Проводится экспертно-аналитическое сопровождение реализации федерального проекта, в том числе предусматривающее выполнение отдельных мероприятий федерального проекта</t>
  </si>
  <si>
    <t>Проводится экспертно-аналитическое сопровождение реализации федерального проекта, в том числе предусматривающее выполнение отдельных мероприятий федерального проекта.</t>
  </si>
  <si>
    <t>073 07 09 02 2 E4 12200 621</t>
  </si>
  <si>
    <t>Увязка</t>
  </si>
  <si>
    <t>Разработана и утверждена целевая модель цифровой образовательной среды</t>
  </si>
  <si>
    <t>Утверждение к 1 августа 2019 года целевой модели цифровой образовательной среды (далее - целевая модель ЦОС) с учетом опыта организаций, реализующих успешные практики в сфере информатизации образования позволит определить и нормативно закрепить основные условия, особенности и критерии создания и функционирования цифровой образовательной среды для разных уровней образования. Целевая модель ЦОС будет включать в себя: - целевую модель "бережливой школы"; - целевую модель системы управления обучением; - целевую модель построения индивидуальных учебных планов; -целевую модель базового профиля цифровых компетенций обучающегося; - создание системы объективного оценивания обучающихся, включающей оценку универсальных компетенций; - целевую модель сервисов и контента для родителей; - целевую модель сервисов и контента для педагогических работников, в том числе сервисов консультативного сопровождения по построению индивидуального учебного плана обучающихся, включающего в себя возможности общего и дополнительного образования детей.</t>
  </si>
  <si>
    <t>073	07	09	02	2	E4	12300	621</t>
  </si>
  <si>
    <t>Разработаны и внедрены федеральная информационно-сервисная платформа цифровой образовательной среды, набор типовых информационных решений в целях реализации в образовательных организациях целевой модели цифровой образовательной среды</t>
  </si>
  <si>
    <t>Федеральная информационно-сервисная платформа цифровой образовательной среды, разработанная и внедряемая начиная с 2019 года направлена на реализацию целевой модели ЦОС в целях решения следующих задач: - создать организационные и технические возможности для совершенствования управления образовательными организациями и сферой образования, в том числе оптимизировать и снизить издержки процессов управления деятельностью образовательных организаций, повысить транспарентность результатов деятельности образовательных организаций, повысить безопасность хранения персональных данных, а также снизить нагрузку в части ведения административно-хозяйственной и финансово-экономической деятельности и обеспечения учебного и воспитательного процесса;
- создать условия для активного применения цифровых сервисов и образовательного контента всеми участниками образовательного процесса, а также внедрить инструментарий для формирования ценностных установок и повышения мотивации к саморазвитию и самоопределению в профессиональной деятельности;
- сформировать сообщества "горизонтального обучения" среди обучающихся и педагогических работников, разработать систему фиксации "цифрового следа" и выстраивания индивидуальной траектории обучения для каждого обучающегося;
- создать онлайн-платформу открытого педагогического образования; - сократить рабочее время педагогических работников на заполнение регулярной итоговой отчетности при использовании автоматизированных решений формирования отчетности, внедренных в федеральную информационно-сервисную платформу;
- обеспечить интеграцию существующих решений, региональные информационные системы</t>
  </si>
  <si>
    <t>Создана технология обработки инцидентов информационной безопасности с использованием искусственного интеллекта для повышения уровня автоматизации процессов принятия решений и уменьшения времени реакции на инциденты</t>
  </si>
  <si>
    <t>073  07  09  02  2  E4 12400  244</t>
  </si>
  <si>
    <t>Внедрена целевая модель цифровой образовательной среды в общеобразовательных организациях и профессиональных образовательных организациях во всех субъектах Российской Федерации</t>
  </si>
  <si>
    <t>Внедрение к концу 2024 года целевой модели ЦОС во всех субъектах Российской Федерации позволит создать условия для развития цифровизации образовательного процесса в соответствии с основными задачами, условиями и особенностями функционирования цифровой образовательной среды для разных уровней образования, обеспечиваемой в том числе функционированием федеральной информационно- сервисной платформы цифровой образовательной среды.
Поддержка из федерального бюджета предоставляется субъектам Российской Федерации на модернизацию к концу 2024 года материально- технической базы в не менее чем 31,5 тыс. общеобразовательных и профессиональных образовательных организаций в целях обеспечения условий для внедрения и развития цифровой образовательной среды в указанных организациях.
Значение динамики субъектов Российской Федерации, внедривших целевую модель цифровой образовательной среды,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</si>
  <si>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Приложение N 1, цель,
сроки (этапы) ФП "Цифровая образовательная среда"</t>
  </si>
  <si>
    <t>Цифровая образовательная среда способствует снижению неравенства возможностей и повышению человеческого капитала, что является общепринятым фактором экономического роста.</t>
  </si>
  <si>
    <t xml:space="preserve">073 07 09 022E452100 521 01 384 </t>
  </si>
  <si>
    <t xml:space="preserve">ОБАС
</t>
  </si>
  <si>
    <t>100% образовательных организаций, реализующих основные и (или) дополнительные общеобразовательные программы, обновили информационное наполнение и функциональные возможности открытых и общедоступных информационных ресурсов (официальных сайтов в сети "Интернет")</t>
  </si>
  <si>
    <t>Обновление к концу 2022 года всеми образовательными организациями информационных представительств в сети Интернет и иных общедоступных информационных ресурсов позволит: - обеспечить представление информации об образовательных организациях, необходимой для всех участников образовательного процесса; - создать систему получения репрезентативных данных, обратной связи от родителей (законных представителей) обучающихся, актуальных для прогнозирования развития системы образования, включая кадровое, инфраструктурное, содержательное, нормативное обеспечение и критерии оценки качества образования в соответствии с основными задачами государственной политики Российской Федерации, в том числе определенными Указом Президента Российской Федерации от 7 мая 2018 г. № 204.</t>
  </si>
  <si>
    <t>Приложение N 1, цель,
сроки (этапы) ФП "Современная школа"</t>
  </si>
  <si>
    <t>100% образовательных организаций обеспечены Интернет-соединением со скоростью соединения не менее 100Мб/c - для образовательных организаций, расположенных в городах, 50Мб/c - для образовательных организаций, расположенных в сельской местности и в поселках городского типа, и гарантированным интернет-трафиком</t>
  </si>
  <si>
    <t>Обеспечение к концу 2024 года Интернет-соединением и гарантированным интернет- трафиком 100% образовательных организаций позволит: - создать организационные и технические условия для внедрения и реализации целевой модели ЦОС, функционирования федеральной информационно-сервисной платформы цифровой образовательной среды; - обеспечить гарантированный доступ обучающихся в общеобразовательных организациях к сети Интернет; - оптимизировать финансовую нагрузку на общеобразовательные организации в части обеспечения доступа к ресурсам сети Интернет. Результат достигается в рамках реализации федерального проекта "Информационная инфраструктура" национальной программы "Цифровая экономика Российской Федерации".</t>
  </si>
  <si>
    <t>Разработаны технологические решения и реализованы пилотные проекты по созданию федеральных и региональных государственных информационных ресурсов с использованием технологии распределённых реестров, внедрением методов и технологий обработки и хранения информации</t>
  </si>
  <si>
    <t>Проведены пилотные проекты по созданию федеральных и региональных государственных информационных ресурсов на основе перспективных систем обработки и хранения информации.Разработаны и применяются технологические решения,обеспечивающие перевод на технологию распределенных реестров федеральных и региональных государственных информационных систем в целях повышения устойчивости и безопасности их функционирования.</t>
  </si>
  <si>
    <t>Не менее 5 тыс. работников, привлекаемых к осуществлению образовательной деятельности, прошли повышение квалификации с целью повышения их компетенций в области современных технологий</t>
  </si>
  <si>
    <t>К концу 2020 года квалификации не менее 5 тыс. работников, привлекаемых к образовательной деятельности, повысят уровень знаний, умений и навыков в области внедрения и использования современных цифровых технологий в образовании, в том числе в части онлайн-образования. Реализации серии образовательных мероприятий с работниками, привлекаемых к образовательной деятельности, позволит обеспечить приемственность реализуемых на федеральном уровне мер по развитию цифровой образовательной среды и общее повышение качества реализации образовательных программ с использованием современных информационных технологий.</t>
  </si>
  <si>
    <t>Приложение N 1, цель,
сроки (этапы) ФП "Учитель будущего"</t>
  </si>
  <si>
    <t>Созданы центры цифрового образования детей "IT-куб"</t>
  </si>
  <si>
    <t>Создание центров цифрового образования может осуществлять также за счет региональных средств. Значение количества центров цифрового образования "IT- куб"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 Число детей, охваченных деятельностью центров цифрового образования "IT- куб" составит: 2019 г. - 8 тыс. человек; 2020 г. - 28 тыс. человек; 2021 г. - 50 тыс. человек;2022 г. - 76 тыс. человек; 2023 г. - 104 тыс. человек; 2024 г. - 136 тыс. человек.</t>
  </si>
  <si>
    <t xml:space="preserve">073 07  03 024E452190 521 01 384 </t>
  </si>
  <si>
    <t>ОБАС</t>
  </si>
  <si>
    <t>Проводится мониторинг использования на объектах информационной инфраструктуры Российской Федерации, включая инфраструктуру обработки данных, преимущественно отечественного компьютерного, серверного и телекоммуникационного оборудования в рамках реализации национальной программы «Цифровая экономика»</t>
  </si>
  <si>
    <t>Проводится мониторинг использования на объектах информационной инфраструктуры Российской Федерации, включая инфраструктуру обработки данных, преимущественно отечественного компьютерного, серверного и телекоммуникационного оборудования.</t>
  </si>
  <si>
    <t>Обеспечение свободного доступа по принципу "одного окна" позволит обеспечить доступность для всех категорий граждан, обучающихся по образовательным программам высшего образования и дополнительным профессиональным программам, к онлайн-курсам, реализуемым различными организациями, осуществляющими образовательную деятельность, а также будет способствовать развитию образовательных платформам и цифровых сервисов.</t>
  </si>
  <si>
    <t>Утвержден пакет единых технологических требований с учетом целевой модели цифровой образовательной среды, включая требования к создаваемым цифровым платформам, сервисам, информационным системам, регламенты информационного взаимодействия, форматы обмена данными, обеспечивающие информационное взаимодействие и сквозную аутентификацию на цифровой платформе и в информационных системах всех уровней образования</t>
  </si>
  <si>
    <t>Формирование и утверждение к 1 марта 2020 г. единых технологических требований, позволит определить основные принципы для создания и функционирования цифровых платформ, сервисов, информационных систем, регламентов информационного взаимодействия, форматов обмена данными, обеспечивающих информационное взаимодействие и сквозную аутентификацию на цифровых платформах и в информационных системах всех уровней образования</t>
  </si>
  <si>
    <t>1.1.0</t>
  </si>
  <si>
    <t>Разработана методология для внедрения в основные общеобразовательные программы современных цифровых технологий</t>
  </si>
  <si>
    <t>Разработка к 1 апреля 2020 г. методологии позволит определить основные условия, требования и критерии для эффективного внедрения современных цифровых технологий в основные общеобразовательные программы</t>
  </si>
  <si>
    <t>1.1.1</t>
  </si>
  <si>
    <t>Проведен анализ существующих и перспективных средств защиты информации</t>
  </si>
  <si>
    <t>Проведен анализ существующих и перспективных средств защиты информации.</t>
  </si>
  <si>
    <t>Для не менее 500 тыс. детей, обучающихся в 25% общеобразовательных организациях 75 субъектов Российской Федерации, внедрены в образовательную программу современные цифровые технологии</t>
  </si>
  <si>
    <t>Внедрение к концу 2024 года в основные образовательные программы современных цифровых технологий, для не менее чем 500 тыс. детей, обучающихся в 25% общеобразовательных организаций 75 субъектов Российской Федерации, позволит: 
- усовершенствовать образовательный процесс по отдельным предметным областям путем внедрения современных цифровых технологий; 
- предоставить возможность обучающимся использовать технологии виртуальной и дополненной реальности, цифровых двойников и другие технологии в освоении отдельных предметных областей; 
- создать условия для подготовки высококвалифицированных кадров, обладающих актуальными компетенциями в сфере современных технологий.</t>
  </si>
  <si>
    <t>1.1.2</t>
  </si>
  <si>
    <t>Создана интеграционная платформа непрерывного образования (профессиональное обучение и дополнительное образование) и набор сервисов, обеспечивающих навигацию и поддержку граждан при выборе образовательных программ и организаций, осуществляющих образовательную деятельность</t>
  </si>
  <si>
    <t>Внедрение в 2020 году интеграционной Нет платформы непрерывного образования и набора сервисов позволит обеспечить сопровождение и поддержку системы непрерывного обновления работающими гражданами своих профессиональных знаний и приобретения ими новых профессиональных навыков. Будет предусмотрен навигационный функционал в целях реализации оптимальных для работающих граждан, в том числе инвалидов, образовательных маршрутов, позволяющих постоянно обновлять профессиональные навыки, в том числе востребованные на высокотехнологичном рынке труда, а также совершенствовать различные виды повседневной грамотности, повышающие качество жизни взрослого населения., 
Предусмотрено создание сервисов: обратной связи, обеспечивающих оценку наиболее качественных и востребованных программ, а также организаций и их рейтингование; формирование личного профиля пользователя в части профессиональных навыков и знаний, полученных в процессе непрерывного образования; взаимосвязи с работодателями (поиск сотрудника по набору профессиональных навыков) и другими сервисами по трудоустройству; оценку когнитивных и индивидуально- психологических особенностей граждан как базы для принятия решения о выборе образовательных программ. Интеграционная платформа непрерывного образования направлена на повышение эффективности трудоустройства (включая самозанятость), а также внутри- и межрегиональной трудовой мобильности. Предусмотрена интеграция создаваемой платформы с порталом "Современная цифровая образовательная среда Российской Федерации", действующим</t>
  </si>
  <si>
    <t>1.1.3</t>
  </si>
  <si>
    <t>Разработана и реализована во всех субъектах Российской Федерации программа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 внедрению и функционированию в образовательных организациях целевой модели цифровой образовательной среды</t>
  </si>
  <si>
    <t>Реализация к концу 2024 года во всех субъектах Российской Федерации программы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позволит: 
- эффективно внедрить целевую модель ЦОС в субъектах Российской Федерации; - сформировать региональные управленческие команды, мотивированные в продвижении и развитии цифровой образовательной среды в субъектах Российской Федерации; 
- обеспечить профессиональным кадровым составом процесс реализации мероприятий настоящего федерального проекта.</t>
  </si>
  <si>
    <t>1.1.4</t>
  </si>
  <si>
    <t>Реализована система практико-ориентированного обучения в области кибербезопасности на базе опыта ведущих компаний цифровой экономики</t>
  </si>
  <si>
    <t>Реализована система повышения грамотности в области информационной безопасности, в том числе разработано не менее 10 учебных курсов по 4 направлениям, связанным с ИБ; введена в эксплуатацию платформа управления обучением, включающая разработанные учебные курсы по ИБ; подготовлено не менее 10 специальных практических комплексов для проведения семинаров и практикумов; проведено не менее 100 образовательных мероприятий (лекций, семинаров, вебинаров и пр.) для слушателей, включая представителей МВД России, Следственного комитета, Генпрокуратуры и бизнес-структур; для организации обучения привлечено не менее 3 ведущих отечественных компаний в сфере информационной безопасности.</t>
  </si>
  <si>
    <t>Обеспечено информационное сопровождение национального проекта "Образование</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</si>
  <si>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 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t>
  </si>
  <si>
    <t>1.1.5</t>
  </si>
  <si>
    <t>Развитие практико-ориентированного обучения на базе ведущих компаний цифровой экономики позволит специалистам получить необходимые практические навыки в области кибербезопасности, обрести знания о наиболее релевантных и удачных практиках реализации систем информационной защиты. Впоследствии это позволит таким специалистам рассчитывать на увеличение оплаты своего труда и карьерный рост.</t>
  </si>
  <si>
    <t>Создан отраслевой центр Государственной системы обнаружения, предупреждения и ликвидации последствий компьютерных атак (ГосСОПКА) и включение его в систему автоматизированного обмена информацией об актуальных киберугрозах</t>
  </si>
  <si>
    <t>Создан и функционирует отраслевой центр ГосСОПКА</t>
  </si>
  <si>
    <t>Е4 ФП "Цифровая образовательная среда" (конец)</t>
  </si>
  <si>
    <t>Разработана информационно-справочная система, позволяющая бизнесу определять свое соответствие требованиям российского и международного законодательства, а также отраслевым, национальным и международным стандартам в области информационной безопасности.</t>
  </si>
  <si>
    <t>Разработана
 информационно-справочная система, позволяющая бизнесу определять свое
 соответствие требованиям российского и международного законодательства, а также
 отраслевым, национальным и международным стандартам в области информационной
 безопасности.</t>
  </si>
  <si>
    <t>Представители бизнеса смогут получать знания об актуальном состоянии российского и международного законодательства в области информационной безопасности, что позволит им оперативно приводить свою деятельность в соответствие отечественным и международным нормам. Это, в частности, может повлиять на конкурентоспособность указанных предприятий, а также на возможности их выхода на международные рынки товаров и услуг.</t>
  </si>
  <si>
    <t>E1 ФП Современная школа (начало)</t>
  </si>
  <si>
    <t>Введён в эксплуатацию и функционирует киберполигон для обучения и тренировки специалистов и экспертов разного профиля, руководителей в области информационной безопасности и ИТ современным практикам обеспечения безопасности.</t>
  </si>
  <si>
    <t>Введён в эксплуатацию киберполигон для обучения и тренировки специалистов и экспертов разного профиля, руководителей в области информационной безопасности и ИТ современным практикам обеспечения безопасности. Функционирует независимый
 центр тестирования по техническому тестированию программного и аппаратного
 обеспечения, в том числе средств обеспечения безопасности информации(за
 исключением тестирования реализованных в них механизмов защиты информации),
 позволяющий компаниям получить доступ к аналитической информации и результатам
 независимого тестирования предлагаемых на рынке решений.Разработка отечественного ресурса информирования и проверки угроз уровня web-приложений, согласованный с головным подразделением ГосСОПКА и Банка данных угроз ФСТЭК России.Финансирование на 2022-2024 годы не предусмотрено. Решение будет принято по итогам реализации 2019-2020 гг.Значение результата по годам, измеряемые в условных единицах, предполагают предоставление ежегодной отчетности о результатах обученияи тренировки специалистов и экспертов разного профиля на киберполигоне.</t>
  </si>
  <si>
    <t>Обеспечена возможность изучать предметную область "Технология" и других предметных областей на базе организаций, имеющих высокооснащенные ученико-места , в т.ч. детских технопарков "Кванториум"</t>
  </si>
  <si>
    <t>Сформирована система мероприятий по формированию новых условий реализации предметной области "Технология" и других предметных областей, в том числе: утвержден перечень субъектов Российской Федерации, реализующих мероприятия по освоению предметной области "Технология" и других предметных областей на базе организаций, имеющих высокооснащенные ученико- места, в том числе детских технопарков "Кванториум"; осуществлен отбор через профильную информационную систему результатов инвентаризации инфраструктурных, материально-технических и кадровых ресурсов организаций разного типа, в том числе образовательных, научных организаций, организаций культуры, спорта и реального сектора экономики, потенциально пригодных для реализации предметной области "Технология" и других предметных областей; сформированы методические рекомендации освоения предметной области "Технология" и других предметных областей на базе организаций, имеющих высокооснащенные ученико- места, в том числе детских технопарков "Кванториум"; обеспечено обновление содержания примерных общеобразовательных программ по предметной области "Технология"; к концу 2019 года не менее чем в 10 субъектах Российской Федерации изучение предметной области "Технология" и других предметных областей осуществляется на базе высокотехнологичных организаций, в том числе детских технопарков "Кванториум", с привлечением обучающихся школ различного типа, в том числе школ, работающих в неблагоприятных социальных условиях.</t>
  </si>
  <si>
    <t>Указанные мероприятия будут способствовать приобретению навыков по информационной безопасности для специалистов разного профиля и руководителей в области информационной безопасности и ИТ. Более квалифицированные граждане, таким образом, смогут, с одной стороны, реализовывать современные практики по информационной безопасности, с другой стороны, смогут перейти на иные, более высокооплачиваемые должности.</t>
  </si>
  <si>
    <t>Е1</t>
  </si>
  <si>
    <t>Создан национальный удостоверяющий центр для обеспечения устойчивости взаимодействия устройств в российском сегменте сети «Интернет».</t>
  </si>
  <si>
    <t>Для обеспечения устойчивости функционирования
 взаимодействия устройств в российском сегменте сети "Интернет" введен
 в эксплуатацию национальный удостоверяющий центр (НУЦ), оснащенный необходимым
 оборудованием и обеспечивающий создание сертификатов с использованием
 российских криптографических стандартов. С целью обеспечения работы
 центра внесены необходимые изменения в нормативные правовые акты
 Российской Федерации для обеспечения регламентного использования НУЦ в
 соответствии с разработанной в 2019 году Концепцией.</t>
  </si>
  <si>
    <t>Поддержка образования для детей с ограниченными возможностями здоровья.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</si>
  <si>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По итогам отбора предоставлены субсидии из федерального бюджета бюджетам субъектов Российской Федерации на финансовое обеспечение мероприятий по обновлению материально-технической базы, в том числе для реализации предметной области "Технология" и других предметных областей в организациях, осуществляющих образовательную деятельность исключительно по адаптированным общеобразовательным программам. Сформированы методические рекомендации по материально-техническому оснащению и обновлению содержания образования в организациях, осуществляющих образовательную деятельность исключительно по адаптированным общеобразовательным программам, с учетом необходимости обеспечения условий для обновления содержания и совершенствования методов обучения предметной области "Технология" и других предметных областей. Проведен мониторинг реализации мероприятий по обновлению материально- технической базы в организациях, осуществляющих образовательную деятельность исключительно по адаптированным общеобразовательным программам, в соответствии со сформированными методическими рекомендациями. Обеспечено обновление содержания образовательных программ, в том числе по предметной области "Технология" и другим предметным областям, методик преподавания и оценивания результатов освоения образовательных программ, дизайна инфраструктуры, перечня учебного оборудования и учебно-методических комплексов с учетом особых образовательных потребностей обучающихся в организациях, осуществляющих образовательную деятельность исключительно по адаптированным общеобразовательным программам. Проведен ежегодный мониторинг по оценке качества изменений в освоении обучающимися соответствующих образовательных программ в соответствии с характеристиками результатов. К концу 2019 года не менее чем в 236 организациях, осуществляющих образовательную деятельность исключительно по адаптированным общеобразовательным программам, обновлена материально-техническая база, созданы условия для реализации дистанционных программ обучения определенных категорий обучающихся.Значение количества организаций, осуществляющих образовательную деятельность исключительно по адаптированным общеобразовательным программам, в которых будет обновлена материально-техническая база,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</si>
  <si>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Определен комплекс мер и осуществлена финансовая поддержка проектов по созданию и модернизации отечественного программного обеспечения.</t>
  </si>
  <si>
    <t>Обновлена материально-техническая база для формирования у обучающихся современных технологических и гуманитарных навыков. Создана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</si>
  <si>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1. Определены приоритетные направления и объемы поддержки разработки отечественного программного обеспечения и увеличения его доли в условиях цифровой экономики институтами развития. 2. Запущены и реализуются инвестиционные программы в целях поддержки разработчиков отечественного программного обеспечения для нужд цифровой экономики на поздних стадиях развития. 3. Осуществляется стимулирование разработки отечественного программного обеспечения и увеличения его доли в условиях цифровой экономики. 4. Обеспечены координация и мониторинг выделения инвестиций по приоритетным направлениям разработки программного обеспечения.</t>
  </si>
  <si>
    <t>По итогам отбора предоставлены субсидии из федерального бюджета бюджетам субъектов Российской Федерации на создание материально- технической базы9 для реализации основных и дополнительных общеобразовательных программ цифрового, технического, естественнонаучного и гуманитарного профилей в школах, расположенных в сельской местности и малых городах. Проведен отбор заявок и заключение соглашений с высшими исполнительными органами государственной власти субъектов Российской Федерации о предоставлении субсидии из федерального бюджета бюджетам субъектов Российской Федерации на финансовое обеспечение мероприятий по созданию материально-технической базы для реализации основных и дополнительных общеобразовательных программ цифрового и гуманитарного профилей, в том числе технического и естественнонаучного, в школах, расположенных в сельской местности и малых городах, в том числе школах, работающих в неблагоприятных социальных условиях. Обеспечено обновление содержания образовательных программ, методик преподавания и оценивания результатов освоения образовательных программ, дизайна инфраструктуры, перечня средств обучения и учебно-методических комплексов. Проведен ежегодный мониторинг по оценке качества изменений в освоении обучающимися соответствующих образовательных программ в соответствии с характеристиками результатов. К концу 2024 года не менее чем в 16 тыс. школ, расположенных в сельской местности и малых городах, не менее чем в 80 субъектах Российской Федерации создана материально- техническая база9 для реализации основных и дополнительных общеобразовательных программ цифрового, естественнонаучного, технического и гуманитарного профилей, с охватом не менее 800 тыс. детей, в том числе в школах, работающих в неблагоприятных социальных условиях, в том числе: в 2019 году - в не менее, чем 2 тыс. школ с охватом не менее 100 тыс. детей; в 2020 году - в не менее, чем 5 тыс. школ с охватом не менее 250 тыс. детей; в 2021 году - в не менее, чем 8 тыс. школ с охватом не менее 400 тыс. детей; в 2022 году - в не менее, чем 11 тыс. школ с охватом не менее 550 тыс. детей; в 2023 году - в не менее, чем 13,5 тыс. школ с охватом не менее 700 тыс. детей.Значение количества организаций, в которых создается материально-техническая база для реализации основных и дополнительных общеобразовательных программ цифрового и гуманитарного профилей, в том числе технического и естественнонаучного, в школах, расположенных в сельской местности и малых городах, подлежит ежегодному уточнению по итогам проведения отборов на предоставление субсидии из федерального бюджета бюджетам субъектов Российской Федерации на финансовое обеспечение соответствующих мероприятий.</t>
  </si>
  <si>
    <t>Разработана методология (целевая модель)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 в том числе с применением лучших практик обмена опытом между обучающимися</t>
  </si>
  <si>
    <t>К концу 2019 года разработана и утверждена методология (целевая модель)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 Целевая модель позволит сформировать организационно-методическую основу для внедрения и последующего развития механизмов наставничества обучающихся образовательных организаций, в том числе с применением лучших практик обмена опытом между обучающимися и привлечением представителей работодателей к этой деятельности. Сформированы рекомендации по обновлению содержания образовательных программ, методик преподавания и оценивания результатов освоения образовательных программ с учетом утвержденной методологии. Проведен ежегодный мониторинг по оценке качества изменений в освоении обучающимися образовательных программ в соответствии с характеристиками результатов.Результат является "перекрестным" с результатами федеральных проектов "Успех каждого ребенка" и "Молодые профессионалы (Повышение конкурентоспособности профессионального образования)".</t>
  </si>
  <si>
    <t>Созданы новые места в общеобразовательных организациях, расположенных в сельской местности и поселках городского типа</t>
  </si>
  <si>
    <t>Реализованы мероприятия региональных программ, в том числе за счет софинансирования из федерального бюджета, по модернизации инфраструктуры общего образования в сельской местности и поселках городского типа(строительство зданий (пристроек к зданию), приобретение (выкуп) зданий (пристроек к зданиям) общеобразовательных организаций),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Обеспечено повышение доступности современных условий образования в сельской местности и малых городах за счет ввода с целевым софинансированием из федерального бюджета к 2024 году не менее 11,5 тыс. новых мест в общеобразовательных организациях, расположенных в сельской местности и поселках городского типа.Кроме того, за счет реализации различных мероприятий по созданию новых мест в общеобразовательных организациях в рамках национального проекта "Образование" (в том числе мероприятия по модернизации инфраструктуры общего образования в отдельных субъектах Российской Федерации, в том числе в рамках обеспечения устойчивого развития сельских территорий и мероприятий по социально-экономическому развитию субъектов Российской Федерации, входящих в состав Северо-Кавказского федерального округа, мероприятия по созданию новых мест в общеобразовательных организациях, расположенных в сельской местности и поселках городского типа,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создание новых мест в общеобразовательных организациях (продолжение реализации приоритетного проекта "Современная образовательная среда для школьников")) к 2024 году будет введено не менее 24,5 тыс4. новых мест в общеобразовательных организациях, расположенных в сельской местности и поселках городского типа, в том числе:в 2019 году - не менее 4,9 тыс. мест;в 2020 году - не менее 9,8 тыс. мест; в 2021 году - не менее 15,7 тыс. мест; в 2022 году - не менее 20,6 тыс. мест; в 2023-2024 годах - не менее 24,5 тыс. мест.</t>
  </si>
  <si>
    <t>Создание "сквозных" цифровых технологий преимущественно на основе отечественных разработок</t>
  </si>
  <si>
    <t>Определены принципы отбора и меры поддержки лидирующих исследовательских центров в рамках реализации дорожных карт развития «сквозных» цифровых технологий (далее - СЦТ), в том числе определены подходы к порядку взаимодействия партнерских организаций лидирующих исследовательских центров</t>
  </si>
  <si>
    <t>1. Сформирована система требований к ЛИЦ и меры их поддержки.2. Разработано положение и конкурсная документация отбора ЛИЦ.3. Разработаны правила предоставления средств федерального бюджета в целях поддержки программ деятельности ЛИЦ</t>
  </si>
  <si>
    <t>Реализованы мероприятия по модернизации инфраструктуры общего образования в отдельных субъектах Российской Федерации</t>
  </si>
  <si>
    <t>Реализованы мероприятия, направленные на модернизацию инфраструктуры общего образования в отдельных субъектах Российской Федерации, в том числе в рамках реализации поручений Президента Российской Федерации и Правительства Российской Федерации, обращений высших должностных лиц субъектов Российской Федерации, путем предоставления субсидий из федерального бюджета бюджетам субъектов Российской Федерации, что позволит до конца 2023 года ввести новых 16 032 мест.</t>
  </si>
  <si>
    <t>Обеспечение устойчивого развития сельских территорий</t>
  </si>
  <si>
    <t>Реализованы мероприятия, направленные на создание новых мест в общеобразовательных организациях, расположенных в сельской местности, государственных программ субъектов Российской Федерации (подпрограмм государственных программ субъектов Российской Федерации, региональных проектов), путем предоставления субсидий из федерального бюджета бюджетам субъектов Российской Федерации, что позволит до конца 2022 года построить общеобразовательные организации в сельской местности с мощностью не менее 320 мест в общеобразовательных организациях.</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</si>
  <si>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t>
  </si>
  <si>
    <t>Реализованы мероприятия, направленные на создание новых мест в общеобразовательных организациях, расположенных в субъектах Российской Федерации, входящих в состав Северо-Кавказского федерального округа, путем предоставления субсидий из федерального бюджета бюджетам субъектов Российской Федерации, что позволит до конца 2021 года построить 2 общеобразовательные организации (школы в г. Пятигорске и г. Кисловодске).</t>
  </si>
  <si>
    <t>Определены лидирующие исследовательские центры по сквозным технологиям в области цифровой экономики</t>
  </si>
  <si>
    <t>Отобраны не менее7 ЛИЦ в 2019 г. и не менее 14 ЛИЦ в 2020 г.</t>
  </si>
  <si>
    <t>На основе апробации по созданию условий для психологического сопровождения обучающихся общеобразовательных организаций не менее чем в 5 субъектах Российской Федерации сформированы методические рекомендации по системе функционирования психологических служб в общеобразовательных организациях</t>
  </si>
  <si>
    <t>К концу 2020 года сформированы, апробированы и внедрены методические рекомендации по системе функционирования психологических служб в общеобразовательных организациях в не менее чем в 5 субъектах Российской Федерации, что позволит обеспечить единые подходы к созданию необходимых организационных, методических и финансово-экономических условий для психологического сопровождения обучающихся. С учетом результатов апробации методические рекомендации будут обновлены и доведены до субъектов Российской Федерации.</t>
  </si>
  <si>
    <t>Разработана методология и критерии оценки качества общего образования в общеобразовательных организациях на основе практики международных исследований качества подготовки обучающихся</t>
  </si>
  <si>
    <t>К концу 2019 года разработана методология и критерии оценки качества общего образования в общеобразовательных организациях на основе опыта проведения массовых оценочных процедур в Российской Федерации, практики международных сопоставительных исследований качества образования и в интеграции с уже выстроенной системой оценки качества российского образования, что позволит обеспечить основные организационные, методологические условия для эффективной реализации мероприятий настоящего федерального проекта, а также для достижения ключевых показателей национального проекта "Образование" в части обеспечения к 2024 году глобальной конкурентоспособности общего образования России. Разработаны рекомендации по использованию методологии оценки в общеобразовательных организациях.</t>
  </si>
  <si>
    <t>К концу 2019 года разработаны и внедрены методические рекомендации (целевая модель) 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 обеспечены организационные и методологические условия для участия указанных структур в принятии соответствующих решений.
 Результат является "перекрестным" с результатами федеральных проектов "Успех каждого ребенка" и "Молодые профессионалы (Повышение конкурентоспособности профессионального образования)".</t>
  </si>
  <si>
    <t>Созданы прототипы не менее 2-х пилотных цифровых платформ для исследований и разработок и использования результатов интеллектуальной деятельности</t>
  </si>
  <si>
    <t>1.Определены не менее 2-х ЛИЦ, программа развития которых предусматривает создание пилотных цифровых платформ для проведения исследований и разработок и использования РИД по направлениям СЦТ. 2. В ходе деятельности ЛИЦ разработано не менее 2-х прототипов цифровых платформ для исследований и разработок и использования результатов интеллектуальной деятельности.3.Разработана концепция цифровых платформ для реализации исследований и
 разработок на базе ЛИЦ, цифровых платформ использованию результатов
 исследований и разработок на базе компаний-лидеров цифровой экономики - по
 направлениям развития СЦТ в срок до 31.08.2019.</t>
  </si>
  <si>
    <t>Проведена оценка качества общего образования на основе практики международных исследований качества подготовки обучающихся</t>
  </si>
  <si>
    <t>К 30 апреля 2024 года проведена оценка качества общего образования в 85 субъектах Российской Федерации (кроме организаций, осуществляющих образовательную деятельность исключительно по адаптированным общеобразовательным программам) в соответствии с методологией и критериями на основе практики международных исследований и опыта проведения массовых оценочных процедур в Российской Федерации.</t>
  </si>
  <si>
    <t>Во всех субъектах Российской Федерации для учителей предметной области "Технология" действует система повышения квалификации на базе детских технопарков "Кванториум", организаций, осуществляющих образовательную деятельность по образовательным программам среднего профессионального и высшего образования, предприятий реального сектора экономики</t>
  </si>
  <si>
    <t>К концу 2021 года во всех субъектах Российской Федерации для педагогических работников предметной области "Технология" и других предметных областей естественнонаучной и технической направленностей функционирует система повышения квалификации на базе организаций, осуществляющих образовательную деятельность по образовательным программам среднего профессионального и высшего образования, детских технопарков "Кванториум", предприятий реального сектора экономики, при этом в 2022-2024 годы обеспечены разработка новых образовательных программ дополнительного профессионального образования (в том числе в рамках мероприятий федерального проекта "Учитель будущего"), выявление и распространение лучших практик переподготовки педагогических работников предметной области "Технология" и других предметных областей естественнонаучной и технической направленностей.
 Проведен ежегодный мониторинг по оценке изменений в освоении обучающимися соответствующих образовательных программ, с учетом повышения квалификации педагогических работников.</t>
  </si>
  <si>
    <t>Обновлены федеральные государственные образовательные стандарты общего образования, в том числе требования к результатам освоения образовательной программы общего образования в части формирования базовых знаний, умений и навыков, формализации "гибких компетенций", и примерные основные общеобразовательные программы</t>
  </si>
  <si>
    <t>К концу 2021 года обновлены содержание, методики и технологии обучения по образовательным программам общего образования, в том числе в части учета особых образовательных потребностей обучающихся. В федеральные государственные образовательные стандарты (ФГОС) общего образования внесены изменения, в том числев рамках реализации поручения Президента Российской Федерации (ч.9 пп. "а" п. 2, № Пр-294 от 26 февраля 2019 г.), а также формализовано понятие "гибкие компетенции". 
 Обновлены примерные основные общеобразовательные программы (ПООП) по всем уровням общего образования в соответствии с обновленными ФГОС, что в совокупности обеспечит условия для повышения качества общего образования. В 2022-2024 годы обеспечено проведение мониторинга внедрения ФГОС и ПООП, выявление и распространение лучших региональных практик, подготовка специалистов к работе в условиях новых ФГОС и другие мероприятия, обеспечивающие повышение эффективности обучения по образовательным программам общего образования.
 Создана методология и технология разработки нового поколения измерительных материалов оценки уровня владения обучающимися гибкими компетенциями и базовой грамотности (финансовой, информационной, правовой, здоровьесберегающей и пр.). Обеспечено проведение оценки успешности в освоении обновленных образовательных программ обучающимися общеобразовательных организаций.
 Результат является одним из ключевых для федерального проекта, непосредственно влияет на достижение показателей национального проекта "Образование", в том числе показателя "средневзвешенный результат Российской Федерации в группе международных исследований".</t>
  </si>
  <si>
    <t>Государственная программа развития сельского хозяйства и регулирования рынков сельскохозяйственной продукции, сырья и продовольствия</t>
  </si>
  <si>
    <t>Созданы цифровые платформы исследований и разработок, а также использования результатов интеллектуальной деятельности на базе лидирующих исследовательских центров и компаний-лидеров по направлениям СЦТ (не менее 2)</t>
  </si>
  <si>
    <t>В ходе деятельности ЛИЦ создано не менее 2-х цифровых платформ исследований и разработок и использования результатов интеллектуальной деятельности.</t>
  </si>
  <si>
    <t>В Российской Федерации ликвидировано обучение в 3-ю смену</t>
  </si>
  <si>
    <t>К концу 2021 года ликвидировано обучение в 3-ю смену за счет ввода новых мест, оснащенных необходимой материально-технической базой, позволяющей реализовывать обновленные образовательные программы (по данным федерального статистического наблюдения по состоянию на 1 января 2018 г. обучение в 3-ю смену не ликвидировано в Республике Дагестан, Карачаево-Черкесской Республике, Республике Бурятия и Республике Ингушетия).
 Создание новых мест в общеобразовательных организациях осуществлено в рамках региональных программ, которые включают в себя мероприятия по модернизации инфраструктуры общего образования (строительство зданий (пристроек к зданию), приобретение (выкупа) зданий (пристроек к зданию) общеобразовательных организаций, расположенных в субъектах Российской Федерации),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Региональные программы софинансируются из федерального бюджета, в том числе в рамках отдельной субсидии из федерального бюджета бюджетам субъектов Российской Федерации.</t>
  </si>
  <si>
    <t>Обеспечено внедрение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t>
  </si>
  <si>
    <t>К концу 2022 года внедрены обновленные примерные основные общеобразовательные программы, разработанные в рамках федерального проекта, в общеобразовательные организации всех субъектов Российской Федерации, что позволит повысить качество преподавания всех предметных областей, обеспечить соответствие условий обучения современным требованиям, компетенциям и знаниям, а также будет способствовать достижению главных целевых установок реализации настоящего федерального проекта и национального проекта "Образование" в целом.
 Проведен мониторинг использования обновленных федеральных государственных образовательных стандартов общего образования, в том числе требований к результатам освоения образовательной программы общего образования.</t>
  </si>
  <si>
    <t>Проведен мониторинг внедрения обновленных примерных основных общеобразовательных программ, разработанных в рамках федерального проекта, во всех субъектах Российской Федерации</t>
  </si>
  <si>
    <t>К концу 2024 года проведен мониторинг внедрения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 что позволит выработать необходимые и своевременные управленческие решения в части качественного изменения преподавания основных предметных областей, а также будет способствовать достижению целевых показателей настоящего федерального проекта и национального проекта "Образование" в целом.</t>
  </si>
  <si>
    <t>Определены требования к отбору компаний-лидеров, разрабатывающих продукты и платформенные решения преимущественно на основе российских технологий и решений для цифровой трансформации приоритетных отраслей экономики и социальной сферы преимущественно на основе отечественных разработок</t>
  </si>
  <si>
    <t>1. Утверждено Положение о проведении конкурсного отбора на предоставление государственной поддержки российских высокотехнологичных компаний, занимающих лидирующие позиции в области информационных технологий, реализующих проекты по разработке и обеспечению внедрения продуктов, сервисов и платформенных решений на базе «сквозных» цифровых технологий преимущественно на основе отечественных разработок.2.Разработаны правила предоставления средств федерального бюджета</t>
  </si>
  <si>
    <t>Не менее 70% обучающихся общеобразовательных организаций вовлечены в различные формы сопровождения и наставничества</t>
  </si>
  <si>
    <t>В соответствии с разработанной методологией наставничества обучающихся общеобразовательных организаций, в том числе с применением лучших практик обмена опытом между обучающимися и привлечением представителей работодателей к этой деятельности, к концу 2024 года не менее 70% обучающихся общеобразовательных организаций вовлечены в различные формы сопровождения и наставничества (2019 г. - 3 % обучающихся; 2020 г. - 10 % обучающихся; 2021 г. - 20 % обучающихся; 2022 г. - 35 % обучающихся; 2023 г. - 50 % обучающихся; 2024 г. - 70 % обучающихся), что позволит создать условия для формирования активной гражданской позиции у каждого обучающегося, а также достичь цели и целевых показателей национального проекта "Образование" в части воспитания гармонично развитой и социально ответственной личности на основе духовно-нравственных ценностей народов Российской Федерации, исторических и национально-культурных традиций. 
 Разработаны и внедрены программы менторства и наставничества для обучающихся в рамках взаимодействия с предприятиями субъектов Российской Федерации.</t>
  </si>
  <si>
    <t>Не менее 70% организаций, реализующих программы начального, основного и среднего общего образования, реализуют общеобразовательные программы в сетевой форме</t>
  </si>
  <si>
    <t>К концу 2024 года не менее чем 70 % общеобразовательных организаций реализуют образовательные программы в сетевой форме в целях повышения эффективности использования инфраструктуры и кадрового потенциала системы образования и расширения возможностей детей в освоении программ общего образования. Реализация мероприятий федерального проекта будет направлена на повышение доступности качественного, вариативного образования, что позволит поэтапно достичь следующих результатов охвата организаций, реализующих программы начального, основного и среднего общего образования - реализуют общеобразовательные программы в сетевой форме, накопительным итогом: 
 2019 г. – 3 % организаций;
 2020 г. – 10 % организаций;
 2021 г. – 20 % организаций;
 2022 г. – 35 % организаций;
 2023 г. – 50 % организаций;
 2024 г. – 70 % организаций.</t>
  </si>
  <si>
    <t>Сформулированы предложения по комплексу мер, обеспечивающих преференции компаниям-лидерам, разрабатывающим продукты, сервисы и платформенные решения на базе сквозных технологий, в том числе ведущим совместные разработки с лидирующими исследовательскими центрами</t>
  </si>
  <si>
    <t>Определен комплекс мер, обеспечивающих преференции компаниям-лидерам. которые будут вести совместные разработки с организациями ЛИЦ и (или) заказывающим исследования и разработки по направлениям СЦТ у организаций ЛИЦ</t>
  </si>
  <si>
    <t>Не менее чем в 70% общеобразовательных организаций реализуются механизмы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t>
  </si>
  <si>
    <t>К концу 2024 года не менее чем в 70% общеобразовательных организаций обеспечено вовлечение общественно-деловых объединений и участие представителей работодателей в принятии решений по вопросам управления развитием общеобразовательных организаций.</t>
  </si>
  <si>
    <t>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t>
  </si>
  <si>
    <t>К концу 2024 года будут созданы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 что позволит повысить доступность и улучшить качество общего образования. 
 Создание новых мест в общеобразовательных организациях осуществлено в рамках региональных программ, которые включают в себя мероприятия по модернизации инфраструктуры общего образования (строительство зданий (пристроек к зданию), приобретение (выкупа) зданий (пристроек к зданию) общеобразовательных организаций, расположенных в субъектах Российской Федерации),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Региональные программы софинансируются из федерального бюджета, в том числе в рамках отдельной субсидии из федерального бюджета бюджетам субъектов Российской Федерации.
 Актуализированы перечень средств обучения и воспитания, необходимых для реализации образовательных программ начального общего, основного общего и среднего общего образования, соответствующих современным условиям обучения, необходимого оборудования при оснащении общеобразовательных организаций в целях реализации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критерии его формирования и требования к функциональному оснащению, а также норматив стоимости оснащения одного места обучающегося средствами обучения и воспитания.</t>
  </si>
  <si>
    <t>Построено и введено в эксплуатацию не менее 25 школ с привлечением частных инвестиций на условиях возвратного финансирования</t>
  </si>
  <si>
    <t>К концу 2024 года построены и введены в эксплуатацию 25 школ с привлечением инициативного внебюджетного финансирования на условиях возвратного финансирования, что позволит внедрить систему применения негосударственных инвестиций не только на этапе проектирования и строительства школ, но и в процессе их дальнейшего содержания и обслуживания. Данные меры приведут к оптимизации расходования бюджетных средств, а также будут способствовать развитию конкурентной среды в сфере образования субъектов Российской Федерации, в которых создаются подобные школы.</t>
  </si>
  <si>
    <t>Отобраны в целях осуществления поддержки компании-лидеры, разрабатывающие и обеспечивающие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t>
  </si>
  <si>
    <t>Отобраны компании-лидеры по направлениям СЦТ</t>
  </si>
  <si>
    <t>Нет характреистики в паспорте ФП</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</si>
  <si>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 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"Целевая образовательная среда"</t>
  </si>
  <si>
    <t>Разработаны методические рекомендации по цифровой трансформации государственных корпораций и компаний с государственным участием и обеспечено информационно-аналитическое сопровождение и мониторинг реализации стратегий цифровой трансформации государственных корпораций и компаний с государственным участием</t>
  </si>
  <si>
    <t>1. Утверждены методические рекомендации по цифровой трансформации государственных корпораций и компаний с государственным участием.2. Проведена информационная кампания по популяризации лучших решений и практик сфере цифровой экономики и цифровой трансформации государственных корпораций и компаний с государственным участием. 3. Отчет о результатах мониторинга реализации стратегий цифровой трансформации государственных корпораций и компаний с государственным участием, в том числе достижения КПЭ руководителей организаций</t>
  </si>
  <si>
    <t>E1 ФП Современна школа (конец)</t>
  </si>
  <si>
    <t>Ф</t>
  </si>
  <si>
    <t>Утвержден комплекс мероприятий по стимулированию создания и реализации программ и проектов по цифровой трансформации организаций с применением СЦТ</t>
  </si>
  <si>
    <t>Одобрен комплекс мер по стимулированию цифровой трансформации в государственных корпорациях и компаниях с государственным участием</t>
  </si>
  <si>
    <t>НАЧАЛО ФП Содействие занятости женщин - создание условий дошкольного образования для детей в возрасте до трех лет</t>
  </si>
  <si>
    <t>Определены методологические подходы и создана нормативно правовая база для реализации в субъектах Российской Федерации мероприятий по созданию условий для осуществления трудовой деятельности женщин, воспитывающих детей дошкольного возраста</t>
  </si>
  <si>
    <t>В методических рекомендациях будут отражены вопросы, связанные с реализацией мероприятий по созданию условий для осуществления трудовой деятельности женщин,  имеющих детей дошкольного возраста, что будет способствовать повышению эффективности реализации соответствующего мероприятия.</t>
  </si>
  <si>
    <t>Создание методологических подходов и нормативно-правовой базы определит способы и пути создания условий для осуществления трудовой деятельности женщинами, воспитывающими детей.</t>
  </si>
  <si>
    <t>Организовано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в том числе проживающих в Дальневосточном федеральном округе, в соответствии с определенным рейтингом приоритетности соответствующих региональные программ Дальневосточного федерального округа</t>
  </si>
  <si>
    <t>Реализация мероприятия по организации переобучения и повышения квалификации женщин в период отпуска по уходу за ребенком до достижения им возраста трех лет способствует созданию адаптационных условий для возвращения указанной категории женщин к трудовой деятельности, а также повышению их конкурентоспособности на рынке труда и увеличения профессиональной мобильности.</t>
  </si>
  <si>
    <t>Приобретение новых навыков посредством переобучения и повышения квалификации поможет женщинам вступить в новые трудовые отношения и повысить свои доходы. Это же поможет женщинам, проживающим в Дальневосточном федеральном округе, получить работу в соответствии с рейтингом приоритетности соответствующих региональных программ, что повлияет, в том числе, и на развитие ДФО.</t>
  </si>
  <si>
    <t>Внесены изменения в нормативные правовые акты, определяющие деятельность институтов инновационного развития, в целях обеспечения приоритетной поддержки проектов по внедрению СЦТ</t>
  </si>
  <si>
    <t>Сформированы предложения по порядку отбора проектов в области исследований, разработок и их коммерциализации по направлениям "сквозных" технологий, согласованных с потребностями секторов экономики и перспективными рынками</t>
  </si>
  <si>
    <t>Определена приоритетность субъектов Российской Федерации, входящих в состав Дальневосточного федерального округа по реализации региональных программ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</si>
  <si>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В условиях существования значительных демографических проблем на территории Дальневосточного федерального округа предусматривается организация переобучения и повышения квалификации женщин в период отпуска по уходу за ребенком в возрасте до трех лет, в том числе проживающих в Дальневосточном федеральном округе, в соответствии с определенным рейтингом приоритетности для обеспечения достижения запланированных показателей.</t>
  </si>
  <si>
    <t>Определение приоритетности субъектов ДФО позволит сделать программы повышения квалификации и переобучения женщин с детьми дошкольного возраста более адресными.</t>
  </si>
  <si>
    <t>Численность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в субъектах Российской Федерации (не менее 230 тыс. человек к 2024 году)</t>
  </si>
  <si>
    <t>В 2020-2024 годах в субъектах Российской Федерации обучение прошли не менее 230 тыс.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</si>
  <si>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Пункт 10 Перечня основных мероприятий государственной программы Российской Федерации "Содействие занятости населения" (с. 116)</t>
  </si>
  <si>
    <t>Программы переобучения и повышения квалификации женщин с детьми дошкольного возраста и женщин, находящихся в отпуске по уходу за ребенком, позволяют адресатам мероприятия вступить в трудовые отношения и повысить уровень своих доходов.</t>
  </si>
  <si>
    <t>Утверждены стратегии цифровой трансформации государственных корпораций и компаний с государственным участием, создающих спрос на сквозные технологии</t>
  </si>
  <si>
    <t>1. Утверждены не менее 10 стратегий цифровой трансформации госкорпораций, компаний с госучастием. 2. Стратегии цифровой трансформации госкорпораций и компаний с госучастием синхронизированы с дорожными картами по направлениям развития "сквозных" цифровых технологий 3. Принята нормативная правовая база и локальные нормативные акты государственных корпораций и государственных компаний по цифровой трансформации</t>
  </si>
  <si>
    <t>07 05 07 1 P2 54610 521</t>
  </si>
  <si>
    <t>Актуализированы механизмы поддержки негосударственного сектора в сфере дошкольного образования</t>
  </si>
  <si>
    <t>Актуализация механизмов поддержки позволит обеспечить эффективное функционирование негосударственного сектора в сфере дошкольного образования в субъектах Российской Федерации</t>
  </si>
  <si>
    <t>Мероприятие позволит создать новые места в негосударственных дошкольных учреждениях. Это может помочь занятости женщин, так как их дети будут временно содержаться в таких учреждениях.</t>
  </si>
  <si>
    <t>В региональные программы субъектов Российской Федерации, входящих в состав Дальневосточного и Северо-Кавказского федеральных округов, в приоритетном порядке включены мероприятия по созданию дополнительных мест для детей в возрасте от полутора до трех лет</t>
  </si>
  <si>
    <t>Включение в региональные программы мероприятий по созданию дополнительных мест для детей в возрасте от полутора до трех лет позволит создать необходимые нормативные правовые, организационные и финансово-экономические условия для их последующей реализации на территории субъектов Российской Федерации</t>
  </si>
  <si>
    <t>Включение в региональные программы ДФО и СКФО в приоритетном порядке мероприятий, описанных в результате, позволит создать гарантии того, что дети в возрасте от 1,5 до 3 лет будут распределены в дошкольные учреждения. Это позволит освободить время женщин, которое они могут потратить на повышение квалификации и переподготовку для последующего вступления в трудовые отношения.</t>
  </si>
  <si>
    <t>Субъектами Российской Федерации, входящими в состав Дальневосточного и Северо-Кавказского федеральных округов, в приоритетном порядке реализуются мероприятия региональных программ по созданию дополнительных мест для детей в возрасте от полутора до трех лет</t>
  </si>
  <si>
    <t>Реализация мероприятий региональных программ по созданию дополнительных мест для детей в возрасте от полутора до трех лет позволит:
- повысить доступность дошкольного образования, 
- увеличить сеть образовательных организаций, реализующих образовательные программы дошкольного образования;
- удовлетворить актуальный спрос населения в дошкольном образовании и присмотре и уходе за детьми;
- создать потенциальную возможность для выхода на работу экономически активных родителей (законных представителей), имеющих детей в возрасте до трёх лет;
-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до трёх лет, а также повышения материально-финансовой состоятельности семей</t>
  </si>
  <si>
    <t>Назначены заместители высших должностных лиц в государственных корпорациях и компаниях с государственным участием, реализующих стратегии цифровой трансформации, наделенных полномочиями и обеспеченных ресурсами для реализации инициатив и проектов в рамках осуществления указанных стратегий, а также разработаны и утверждены КПЭ по использованию цифровых технологий при реализации стратегий цифровой трансформации и подготовлены методики мониторинга КПЭ</t>
  </si>
  <si>
    <t>Реализация мероприятий, описанных в результате, позволит распределить детей в возрасте от 1,5 до 3 лет в дошкольные учреждения ДФО и СКФО. Это позволит освободить время женщин, которое они могут потратить на повышение квалификации и переподготовку для последующего вступления в трудовые отношения.</t>
  </si>
  <si>
    <t>1. Отобраны и назначены высшие должностные лица в прямом подчинении руководителей в государственных корпорациях и компаниях с государственным участием, с выделенными функциями для реализации стратегии цифровой трансформации, которые наделены полномочиями и обеспеченных ресурсами для реализации инициатив и проектов в рамках осуществления указанных стратегий (Chief Digital Officer)2. Разработаны и утверждены КПЭ по использованию цифровых технологий при реализации стратегий (программ) цифровой трансформации для руководителей госкорпораций и компаний с государственным участием, а также подготовлены методики мониторинга КПЭ.</t>
  </si>
  <si>
    <t>Заключены соглашения с высшими исполнительными органами государственной власти субъектов Российской Федерации о предоставлении субсидии из федерального бюджета бюджетам субъектов Российской Федерации на финансовое обеспечение мероприятий по созданию дополнительных мест для детей в возрасте от полутора до трех лет</t>
  </si>
  <si>
    <t>Заключение указанных соглашений позволит обеспечить нормативные правовые, организационные и финансово-экономические условия для предоставления субсидии из федерального бюджета бюджетам субъектов Российской Федерации на финансовое обеспечение мероприятий по созданию дополнительных мест для детей в возрасте от полутора до трех лет</t>
  </si>
  <si>
    <t>Заключение соглашений, описанных в мероприятии, поможет изыскать средства на создание дополнительных мест в дошкольных учреждениях. Это позволит освободить время женщин, которое они могут потратить на повышение квалификации и переподготовку для последующего вступления в трудовые отношения.</t>
  </si>
  <si>
    <t>Внесены изменения в федеральные, региональные, муниципальные нормативные правовые акты, в части механизмов поддержки негосударственного сектора дошкольного образования и государственно-частного партнерства (при необходимости)</t>
  </si>
  <si>
    <t>Внесение изменений в нормативные правовые акты различного уровня позволят создать нормативные правовые, организационно-методические и финансово-экономические условия для развития механизмов поддержки негосударственного сектора дошкольного образования, в том числе на основе государственно-частного партнерства</t>
  </si>
  <si>
    <t>Учитывая, что государственные и муниципальные дошкольные учреждения могут не иметь достаточного потенциала для организации дополнительных мест для детей в возрасте от 1,5 до 3 лет, либо реализация этого потенциала может потребовать значительных временных затрат, совершенствование нормативных актов на разных уровнях для поддержки негосударственного сектора дошкольного образования может создать для соответствующих организаций стимулы для создания таких мест.</t>
  </si>
  <si>
    <t>Разработаны, утверждены и актуализируются (начиная с 2020 г.) дорожные карты по направлениям развития СЦТ с учетом потребностей ведущих компаний в области цифровой экономики</t>
  </si>
  <si>
    <t>1. Разработаны, утверждены 7 Дорожных карт по направлениям развития сквозных цифровых технологий с учетом потребностей ведущих компаний в области цифровой экономики, а также с учетом исследовательской деятельности центров НТИ по сквозным технологиям.2. Дорожные карты утверждаются президиумом Правительственной комиссии по
 цифровому развитию, использованию информационных технологий для улучшения
 качества жизни и условий ведения предпринимательской деятельности.</t>
  </si>
  <si>
    <t>Разработаны Методические рекомендации для разработки и реализации программ повышения квалификации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присмотра и ухода за детьми дошкольного возраста в негосударственном секторе дошкольного образования</t>
  </si>
  <si>
    <t>Указанные Методические рекомендации позволят обеспечить реализацию соответствующих мероприятий настоящего федерального проекта по повышению квалификации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присмотра и ухода за детьми дошкольного возраста в негосударственном секторе дошкольного образования</t>
  </si>
  <si>
    <t>Создание дополнительных мест в дошкольных учреждениях потребует соответствующего кадрового обеспечения. Указанные в мероприятии методические рекомендации могут помочь обеспечить дошкольные организации и учреждения квалифицированной рабочей силой.</t>
  </si>
  <si>
    <t>Поддержаны проекты малых предприятий по разработке, применению и коммерциализации СЦТ</t>
  </si>
  <si>
    <t>Осуществлена поддержка проектов малых предприятий по разработке, применению и коммерциализации сквозных цифровых технологий</t>
  </si>
  <si>
    <t>Утверждены правила предоставления и распределения субсидий из федерального бюджета бюджетам субъектов Российской Федерации на финансовое обеспечение мероприятий по созданию дополнительных мест для детей в возрасте от полутора до трех лет в организациях (частной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 и уход за детьми</t>
  </si>
  <si>
    <t>Утверждение указанных правил позволит создать нормативные правовые, организационные и финансово-экономические условия для реализации мероприятий по созданию дополнительных мест для детей в возрасте от полутора до трех лет в организациях (негосударственной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присмотру и уходу за детьми</t>
  </si>
  <si>
    <t>Дополнительная финансовая поддержка субъектов РФ в вопросе создания дополнительных мест в дошкольных организациях и учреждениях путем предоставления субсидий из федерального бюджета простимулирует работу в этом направлении.</t>
  </si>
  <si>
    <t>Утвержден перечень средств обучения и воспитания, необходимых для реализации образовательных программ дошкольного образования, соответствующих современным условиям в целях реализации мероприятий по созданию дополнительных мест для детей в возрасте от полутора до трех лет в организациях (частной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 и уход за детьми</t>
  </si>
  <si>
    <t>Утверждение указанного перечня позволит:
- определить средств обучения и воспитания, необходимых для реализации образовательных программ дошкольного образования, соответствующих современным условиям;
- регламентировать соответствующие затраты на создание обозначенных в перечне средств;
- повысить эффективность реализации мероприятий по созданию дополнительных мест для детей в возрасте от полутора до трех лет в организациях (негосударственной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 и уход за детьми</t>
  </si>
  <si>
    <t>Повышение качества дошкольного образования путем введения новых практик воспитания и преподавания создаст больше стимулов для передачи детей в учреждения и организации дошкольного образования для женщин, воспитывающих детей в возрасте от 1,5 до 3 лет и детей дошкольного возраста.</t>
  </si>
  <si>
    <t>Созданы дополнительные места в дошкольных образовательных организациях для детей в возрасте до 3 лет, тыс. мест нарастающим итогом</t>
  </si>
  <si>
    <t>Создание к концу 2019 года не менее 90 тыс. дополнительных мест для детей в возрасте до трех лет, в том числе путем строительства зданий (пристройки к зданию), приобретения (выкупа) зданий (пристройки к зданию) и помещений дошкольных организаций), в отношении которых имеется типовая проектная документация из соответствующих реестров Минстроя России, позволит: - повысить доступность дошкольного образования, в том числе для детей с ОВЗ и детей-инвалидов;  - увеличить сеть образовательных организаций, реализующих образовательные программы дошкольного образования;- удовлетворить актуальный спрос населения в дошкольном образовании и присмотре и уходе за детьми; - создать потенциальную возможность для выхода на работу экономически активных родителей (законных представителей), имеющих детей в возрасте до трёх лет;-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до трёх лет, а также повышения материально-финансовой состоятельности семей</t>
  </si>
  <si>
    <t>Мероприятие позволит освободить время женщин, которое они могут потратить на повышение квалификации и переподготовку для последующего вступления в трудовые отношения.</t>
  </si>
  <si>
    <t>07 01 02 2 P2 51590 540</t>
  </si>
  <si>
    <t>Увязка результата федерального проекта с направлением расходов федерального бюджета 2019-2021</t>
  </si>
  <si>
    <t>Организовано повышение квалификации не менее 1 тыс.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с учетом приоритетности региональных программ субъектов Российской Федерации, в том числе входящих в состав Дальневосточного и Северо-Кавказского федеральных округов</t>
  </si>
  <si>
    <t>Повышение квалификации по вопросам организации и обеспечения реализации образовательных программ дошкольного образования и присмотра и ухода за детьми дошкольного возраста позволит сформировать кадровый потенциал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для обеспечения вновь создаваемых дополнительных мест в группах дошкольного образования</t>
  </si>
  <si>
    <t>Повышение качества дошкольного образования путем подготовки новых специалистов создаст больше стимулов для передачи детей в учреждения и организации дошкольного образования для женщин, воспитывающих детей в возрасте от 1,5 до 3 лет и детей дошкольного возраста.</t>
  </si>
  <si>
    <t>Поддержаны программы деятельности лидирующих исследовательских центров, в рамках реализации дорожных карт по направлениям развития СЦТ</t>
  </si>
  <si>
    <t>Осуществлена адресная поддержка ЛИЦ в области разработки СЦТ для реализации программ деятельности ЛИЦ по направлениям развития СЦТ</t>
  </si>
  <si>
    <t>Созданы дополнительные места в дошкольных организациях для детей в возрасте от 1,5 до 3 лет, тыс. мест, нарастающим итогом</t>
  </si>
  <si>
    <t>Создание дополнительных мест для детей в возрасте от полутора до трех лет, в том числе путем строительства зданий (пристройки к зданию), приобретения (выкупа) зданий (пристройки к зданию) и помещений дошкольных организаций), в отношении которых имеется типовая проектная документация из соответствующих реестров Минстроя России, позволит: 
- повысить доступность дошкольного образования, в том числе для детей с ОВЗ и детей-инвалидов;  
- увеличить сеть образовательных организаций, реализующих образовательные программы дошкольного образования;
- удовлетворить актуальный спрос населения в дошкольном образовании и присмотре и уходе за детьми; 
- создать потенциальную возможность для выхода на работу экономически активных родителей (законных представителей), имеющих детей в возрасте от полутора до трёх лет;
-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от полутора до трёх лет, а также повышения материально-финансовой состоятельности семей</t>
  </si>
  <si>
    <t>07 01 02 2 P2 52320 523</t>
  </si>
  <si>
    <t>Созданы дополнительные места в субъектах Российской Федерации для детей в возрасте от 1,5 до 3 лет любой направленности в организациях, осуществляющих образовательную деятельность (за исключением государственных и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</si>
  <si>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любой направленности в орагнизациях, осуществляющих образовательную деятельность (за исключением государственных и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позволит:- повысить доступность дошкольного образования;- удовлетворить актуальный спрос населения в дошкольном образовании и присмотре и уходе за детьми;- создать потенциальную возможность для выхода на работу экономически активных родителей (законных представителей), имеющих детей дошкольного возраста;-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от 1,5 до 3 лет, а также повышения материально-финансовой состоятельности семей.</t>
  </si>
  <si>
    <t xml:space="preserve">Позиция в Структуре Государственной Программы Российской Федерации "Развитие
Образования" на 2019 - 2025 годы (с. 20)
</t>
  </si>
  <si>
    <t>Определены потребности секторов экономики, отечественных компаний и организаций в экспертной поддержке по проведению исследований и разработок по направлениям СЦТ при формировании новых продуктов и услуг, подготовлен национальный доклад о прогрессе в построении в Российской Федерации цифровой экономики на базе развития исследовательских компетенций и технологических заделов</t>
  </si>
  <si>
    <t>Подготовлен отчет о результатах
 исследования потребности секторов экономики, отечественных компаний и
 организаций в экспертной поддержке по проведению исследований и разработок по
 направлениям СЦТ при формировании новых продуктов и услуг, подготовлен национальный
 доклад о прогрессе в построении в Российской Федерации цифровой экономики на
 базе развития исследовательских компетенций и технологических заделов.</t>
  </si>
  <si>
    <t>07 01 02 2 P2 252530 521</t>
  </si>
  <si>
    <t>Созданы дополнительные места в дошкольных организациях для детей в возрасте от 1,5 до 3 лет за счет средств бюджетов субъектов Российской Федерации и местных бюджетов (без софинансирования из федерального бюджета и за исключением дополнительных мест, создание которых предусматривается в рамках исполнения подпункта «б» пункта 9 Правил предоставления и распределения иных межбюджетных трансфертов из федерального бюджета на создание дополнительных мест для детей в возрасте от 2 месяцев до 3 лет и подпункта «б» пункта 9 Правил предоставления и распределения субсидий из федерального бюджета на создание дополнительных мест для детей в возрасте от 1,5 до 3 лет), тыс. мест, нарастающим итогом</t>
  </si>
  <si>
    <t>Созданы группы дошкольного образования и присмотра и ухода за детьми дошкольного возраста в негосударственном секторе дошкольного образования за счет субсидии из федерального бюджета бюджетам субъектов Российской Федерации с учетом приоритетности региональных программ субъектов Российской Федерации, в том числе входящих в состав Дальневосточного и Северо-Кавказского федеральных округов.</t>
  </si>
  <si>
    <t>Создание групп дошкольного образования и присмотра и ухода за детьми дошкольного возраста в негосударственном секторе дошкольного образования позволит:
- повысить доступность дошкольного образования;
- удовлетворить актуальный спрос населения в дошкольном образовании и присмотре и уходе за детьми;
- создать потенциальную возможность для выхода на работу экономически активных родителей (законных представителей), имеющих детей дошкольного возраста;
-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от полутора до трёх лет, а также повышения материально-финансовой состоятельности семей</t>
  </si>
  <si>
    <t>Создание дополнительных групп дошкольного образования и присмотра за детьми дошкольного возраста в негосударственном секторе дошкольного образования позволит освободить время женщин, которое они могут потратить на повышение квалификации и переподготовку для последующего вступления в трудовые отношения.</t>
  </si>
  <si>
    <t>Сформирован перечень мировых практик поддержки быстрорастущих высокотехнологичных компаний-лидеров, разрабатывающих продукты, сервисы и платформенные решения на базе СЦТ, а также разработан и актуализируется рейтинг российских компаний-лидеров</t>
  </si>
  <si>
    <t>Подготовлен отчет о результатах исследования лучших мировых практик поддержки быстрорастущих высокотехнологичных компаний-лидеров, разрабатывающих продукты, сервисы и платформенные решения на базе СЦТ, а также разработаны и актуализирован рейтинг российских компаний-лидеров</t>
  </si>
  <si>
    <t>НАЧАЛО ФП Разработка и реализация программы системной поддержки и повышения качества жизни граждан старшего поколения (Старшее поколение)</t>
  </si>
  <si>
    <t>Поддержаны компании-лидеры, разрабатывающие и обеспечивающие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СЦТ</t>
  </si>
  <si>
    <t>1. Компании-лидеры реализуют портфель проектов по разработке продуктов и сервисов в том числе платформенных решений на базе СЦТ.2. Компании-лидеры используют не менее 80% сквозных цифровых технологий и платформенных решений российского происхождения, в том числе разработанных по контрактам совместно с лидирующими исследовательскими центрами.</t>
  </si>
  <si>
    <t>Обеспечено информационное сопровождение хода реализации национальной программы «Цифровая экономика Российской Федерации»</t>
  </si>
  <si>
    <t>Будет проведена информационная кампания по сопровождению хода реализации национальной программы «Цифровая экономика Российской Федерации»</t>
  </si>
  <si>
    <t>Оказана государственная поддержка программам деятельности лидирующих исследовательских центров, реализуемых российскими организациями в целях обеспечения разработки и реализации дорожных карт развития перспективных "сквозных" цифровых технологий</t>
  </si>
  <si>
    <t>Отобраны и поддержаны (начиная с 2020 года) программы деятельности лидирующих исследовательских центров, реализуемых российскими организациями в целях обеспечения разработки и реализации дорожных карт по направлениям развития сквозных цифровых технологий</t>
  </si>
  <si>
    <t>1. Отобраны лидирующие исследовательские центры
 по направлениям развития сквозных цифровых технологий.2. С 2020 года осуществляется государственная
 поддержка лидирующих исследовательских центров в области разработки сквозных
 цифровых технологий, реализующих программы деятельности по направлениям
 развития сквозных цифровых технологий.</t>
  </si>
  <si>
    <t>Отобраны и поддержаны (начиная с 2020 года) компании-лидеры, разрабатывающие и обеспечивающие внедрение продуктов, сервисов и платформенных решений преимущественно на основе российских технологий и решений для цифровой трансформации приоритетных отраслей экономики и социальной сферы, в рамках реализации дорожных карт по направлениям развития сквозных цифровых технологий</t>
  </si>
  <si>
    <t>1. Отобраны компании-лидеры по направлениям
 развития сквозных цифровых технологий.2. С 2020 года осуществляется государственная
 поддержка компаний-лидеров, реализующих портфель проектов по разработке
 продуктов, сервисов и платформенных решений на базе сквозных цифровых
 технологий.3. Компании-лидеры используют не менее 80%
 сквозных цифровых технологий и платформенных решений российского происхождения,
 в том числе разработанных по контрактам совместно с лидирующими
 исследовательскими центрами.</t>
  </si>
  <si>
    <t>Создание комплексной системы финансирования проектов по разработке и (или) внедрению цифровых технологий и платформенных решений, включающей в себя венчурное финансирование и иные институты развития</t>
  </si>
  <si>
    <t>Определены меры и порядок поддержки проектов по преобразованию приоритетных отраслей экономики и социальной сферы, в том числе созданных преимущественно на основе отечественных разработок</t>
  </si>
  <si>
    <t>Утвержден порядок поддержки проектов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СЦТ</t>
  </si>
  <si>
    <t>Определены меры и порядок поддержки проектов цифрового развития экономики субъектов Российской Федерации, в том числе внедрения цифровых технологических решений и цифровых платформ, созданных преимущественно на основе отечественных разработок</t>
  </si>
  <si>
    <t>Утвержден порядок поддержки проектов внедрения отечественных продуктов, сервисов и платформенных решений, созданных на базе СЦТ, в субъектах Российской Федерации</t>
  </si>
  <si>
    <t>Утверждены правила предоставления субсидий российским кредитным организациям, а также организациям ВЭБ.РФ, на возмещение недополученных ими доходов по кредитам, выданным организациям на реализацию проектов в сфере информационных технологий или организациям, осуществляющим деятельность в сфере информационных технологий по льготной ставке</t>
  </si>
  <si>
    <t>Утверждены правила предоставления субсидий российским кредитным организациям, а также организациям ВЭБ.РФ, на возмещение недополученных ими доходов по кредитам с льготной процентной ставкой, выданным организациям на реализацию проектов в приоритетных отраслях развития цифровой экономики</t>
  </si>
  <si>
    <t>Определен перечень российских кредитных организаций, а также организаций ВЭБ.РФ, имеющих право на возмещение недополученных ими доходов по выданным кредитам</t>
  </si>
  <si>
    <t>Определен перечень российских кредитных организаций, а также организаций ВЭБ.РФ, имеющих право на возмещение недополученных ими доходов по выданным кредитам.</t>
  </si>
  <si>
    <t>КОНЕЦ ФП Содействие занятости женщин - создание условий дошкольного образования для детей в возрасте до трех лет</t>
  </si>
  <si>
    <t>Подержаны проекты российских организаций по разработке цифровых технологий, продуктов, сервисов и платформенных решений в целях создания и (или) развития производства высокотехнологичной промышленной продукции</t>
  </si>
  <si>
    <t>Увеличение объема выручки проектов (разработке наукоемких решений, по продвижению продуктов и услуг по заказу бизнеса) на основе внедрения «сквозных» цифровых технологий компаниями, получившими поддержку в рамках федерального проекта «Цифровые технологии»</t>
  </si>
  <si>
    <t>В целях систематизации мер направленных на повышение качества жизни граждан старшего поколения, проведен анализ эффективности действующих региональных программ, направленных на увеличение периода активного долголетия и продолжительности здоровой жизни и подготовлены рекомендации по повышению эффективности мероприятий таких программ для 85 субъектов Российской Федерации</t>
  </si>
  <si>
    <t>На основании анализа эффективности действующих региональных программ, направленных на увеличение периода активного долголетия и продолжительности здоровой жизни, проведенного Минтрудом России совместно с Минздравом России и заинтересованными федеральными органами исполнительной власти, а также  с учетом положений доклада Всемирной организации здравоохранения о старении и здоровье, Минтрудом России  будут подготовлены и направлены в срок до 15 апреля 2019 года в органы исполнительной власти субъектов Российской Федерации рекомендации по повышению эффективности мероприятий таких программ. Рекомендации будут подготовлены для использования органами исполнительной власти субъектов Российской Федерации при актуализации существующих региональных программ и систематизации в отдельные разделы мер, направленных на повышение качества жизни граждан старшего поколения.</t>
  </si>
  <si>
    <t>Внесены изменения в календарь профилактических прививок по эпидемическим показаниям, утвержденный приказом Минздрава России от 21 марта 2014 г. № 125н</t>
  </si>
  <si>
    <t>Минздравом России в целях проведения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в первом квартале 2019 года будут подготовлены и внесены изменения в календарь профилактических прививок по эпидемиологическим показаниям, утвержденный приказом Минздрава России от 21 марта 2014 г. № 125н. Будут утверждены изменения в форму федерального статистического наблюдения № 6 "Сведения о контингентах детей и взрослых, привитых против инфекционных заболеваний", утвержденную приказом Росстата от 16 сентября 2016 г. № 518.</t>
  </si>
  <si>
    <t>В 85 субъектах Российской Федерации приняты региональные программы, включающие мероприятия по увеличению периода активного долголетия и продолжительности здоровой жизни и начата их реализация</t>
  </si>
  <si>
    <t>Органами исполнительной власти субъектов Российской Федерации на основании рекомендаций Минтруда России, разработанных  совместно с Минздравом России и заинтересованными федеральными органами исполнительной власти, в срок до 1 декабря 2019 года будут актуализированы действующие региональные программы и мероприятия этих программ по  укреплению здоровья, увеличению периода активного долголетия и продолжительности здоровой жизни с учетом рекомендаций, подготовленных Минтрудом России в срок до 15 апреля 2019 г. по повышению эффективности мероприятий действующих региональных программ, направленных на увеличение периода активного долголетия и продолжительности здоровой жизни. Указанные региональные программы будут включать мероприятия, направленные на получение образования (обучения), содействие занятости, поддержку физической активности пожилых людей, а также повышение доступности медицинской помощи и услуг в сфере социального обслуживания с учетом потребностей граждан старшего поколения. Мероприятия будут способствовать переходу пожилых людей на позитивные, активные и ориентированные на развитие позиции, включая волонтерство и "серебряное" волонтерство.</t>
  </si>
  <si>
    <t>Создан скоординированный механизм отбора и поддержки проектов по направлениям СЦТ институтами развития в упрощенном порядке</t>
  </si>
  <si>
    <t>Подготовлены предложения по перечню приоритетных направлений СЦТ исследований и разработок и механизмам финансирования институтами развития проектов в разрезе СЦТ в упрощенном режиме (fast-track - "фаст-трек")</t>
  </si>
  <si>
    <t>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2024 году – не менее 70 процентов лиц старше трудоспособного возраста.</t>
  </si>
  <si>
    <t>Комиссиями по разработке территориальной программы обязательного медицинского страхования в субъектах Российской Федерации установлены объемы медицинской помощи медицинским организациям и тарифы на оплату профилактических осмотров, включая диспансеризацию, лиц старше трудоспособного возраста. С учетом выделенных объемов медицинской помощи медицинскими организации, подведомственными органам государственной власти субъектов Российской Федерации в сфере охраны здоровья, будут проведены мероприятия, включая подворовые обходы, доставку пожилых граждан в медицинские организации, выезд медицинских бригад в отдаленные населенные пункты, обеспечивающие охват профилактическими осмотрами, включая  диспансеризацию:
- в 2019 году не менее 23 процентов лиц старше трудоспособного возраста;
- в 2020 году - не менее 28 процентов лиц старше трудоспособного возраста;
- в 2021 году - не менее 34 процентов лиц старше трудоспособного возраста;
- в 2022 году - не менее 55,7 процентов лиц старше трудоспособного возраста;
- в 2023 году - не менее 65,3 процентов лиц старше трудоспособного возраста;
- в 2024 году - не менее 70 процентов лиц старше трудоспособного возраста.
Кроме того, Минздравом России будут подготовлены и направлены в Росстат изменения в форму федерального статистического наблюдения № 30 "Сведения о медицинской организации", утвержденную приказом Росстата от  27 декабря 2016 г. № 866 "Об  утверждении статистического инструментария для организации Министерством здравоохранения Российской Федерации федерального статистического наблюдения в сфере охраны здоровья", в части уточнения понятия "лица/граждане старше трудоспособного возраста".</t>
  </si>
  <si>
    <t>Не менее 90 процентов лиц старше трудоспособного возраста, у которых выявлены заболевания и патологические состояния, находятся под диспансерным наблюдением к концу 2024 года</t>
  </si>
  <si>
    <t>В первом квартале 2019 года Минздравом России будут внесены изменения в Порядок проведения диспансерного наблюдения, утвержденный приказом Минздрава России от 21.12.2012 № 1344н. В субъектах Российской Федерации установлены объемы медицинской помощи с целью  диспансерного наблюдения лиц старше трудоспособного возраста для медицинских организаций, оказывающих медицинскую помощь в амбулаторных условиях, и тарифы на оплату законченного случая диспансерного наблюдения. На основании выделенных объемов медицинской помощи медицинскими организациями будут проведены мероприятия по привлечению пожилых граждан, поставленных на диспансерный учет диспансерным наблюдением, включая проведение подворовых обходов, доставку пожилых граждан автобусным транспортом в медицинские организации, выезды в отдаленные населенные пункты медицинских бригад.</t>
  </si>
  <si>
    <t>Во всех субъектах Российской Федерации созданы региональные гериатрические центры и геронтологические отделения, в которых помощь к концу 2024 года получили не менее 160,0 тыс. граждан старше трудоспособного возраста</t>
  </si>
  <si>
    <t>На базе обособленного структурного подразделения ФГБОУ ВО РНИМУ им. Н.И. Пирогова Минздрава России «Российский геронтологический научно-клинический центр» будет создан федеральный центр координации деятельности субъектов Российской Федерации по развитию организации оказания медицинской помощи по профилю «гериатрия». С организационно-методической поддержкой федерального центра координации: в 2019 году в 7 субъектах Российской Федерации будут созданы региональные гериатрические центры, в которых помощь получат не менее 11,0 тыс. граждан старше трудоспособного возраста.Будет разработан Минздравом России и апробирован в 7 субъектах Российской Федерации комплекс мер, направленный на профилактику и раннее выявление когнитивных нарушений у лиц пожилого и старческого возраста, профилактику падений и переломов. В 2020 году  - в 68 субъектах Российской Федерации будут созданы региональные гериатрические центры, в которых помощь получат не менее 130,0 тыс. граждан старше трудоспособного возраста; в 2021 году -  в 70 субъектах Российской Федерации будут созданы региональные гериатрические центры, в которых помощь получат не менее 140,0 тыс. граждан старше трудоспособного возраста; в 2022 году - в 75 субъектах Российской Федерации будут созданы региональные гериатрические центры, в которых помощь получат не менее 150,0 тыс. граждан старше трудоспособного возраста; в 2023 году - в 80 субъектах Российской Федерации будут созданы региональные гериатрические центры, в которых помощь получат не менее 155,0 тыс. граждан старше трудоспособного возраста; в 2024 году  - в 85 субъектах Российской Федерации будут созданы региональные гериатрические центры, в которых помощь получат не менее 160,0 тыс. граждан старше трудоспособного возраста.</t>
  </si>
  <si>
    <t>Созданы региональные гериатрические центры и геронтологические отделения в 2019 году в 7 субъектах Российской Федерации, в 2020 году - в 68 субъектах Российской Федерации, в 2021 году - в 70 субъектах Российской Федерации, в 2022 году - в 75 субъектах Российской Федерации, в 2023 году - в 80 субъектах Российской Федерации, в 2024 году - в 85 субъектах Российской Федерации</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</si>
  <si>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СЦТ, в рамках реализации дорожных карт по направлениям развития СЦТ</t>
  </si>
  <si>
    <t>Отобраны и 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базе«сквозных» цифровых технологий</t>
  </si>
  <si>
    <t>В целях осуществления доставки лиц старше 65 лет, проживающих в сельской местности, в медицинские организации в 2019 году приобретен автотранспорт.</t>
  </si>
  <si>
    <t>Минтрудом России будет обеспечено доведение средств федерального бюджета до субъектов Российской Федерации на расходные обязательства по приобретению автотранспорта в целях осуществления доставки лиц старше 65 лет, проживающих в сельской местности, в медицинские организации. Органами исполнительной власти субъектов Российской Федерации будут проведены конкурсные процедуры и закуплен автотранспорт, который начнет свою эксплуатацию к концу 2019 года, в том в целях осуществления доставки лиц старше 65 лет, проживающих в сельской местности, в медицинские организации.</t>
  </si>
  <si>
    <t>Обеспечено ежегодно не менее 2,5 миллионов просмотров  телевизионных и радиопрограмм, телевизионных документальных фильмов, Интернет-сайтов, направленных на поддержку и повышение качества жизни граждан старшего поколения</t>
  </si>
  <si>
    <t>Роспечатью будет оказана государственная поддержка производства телевизионных и радиопрограмм, телевизионных документальных фильмов, направленных на поддержку и повышение качества жизни граждан старшего поколения, создания в информационно-телекоммуникационной сети "Интернет" тематических Интернет-ресурсов. Будут созданы и размещены в эфире теле- и радиоканалов телевизионные и радиопрограммы, телевизионные документальные фильмы, направленные на поддержку и повышение качества жизни граждан старшего поколения, созданы в информационно-телекоммуникационной сети "Интернет" тематические Интернет-ресурсы.</t>
  </si>
  <si>
    <t>Ежегодный тираж периодических печатных изданий, реализовавших проекты, направленные на поддержку и повышение качества жизни граждан старшего поколения, составил не менее 500 тысяч экземпляров.</t>
  </si>
  <si>
    <t>Роспечатью будет оказана государственная поддержка периодическим печатным изданиям на реализацию проектов, направленных  на поддержку и повышение качества жизни граждан старшего поколения. В периодических печатных изданиях будут реализованы проекты,  направленных на поддержку и повышение качества жизни граждан старшего поколения.</t>
  </si>
  <si>
    <t>Создана и функционирует система информационно-аналитического сопровождения отбора и мониторинга реализации проектов цифровой трансформации отраслей экономики и социальной сферы</t>
  </si>
  <si>
    <t>Подготовлен отчет о реализации информационно-аналитического сопровождения отбора и мониторинга реализации проектов цифровой трансформации отраслей экономики и социальной сферы</t>
  </si>
  <si>
    <t>Осуществлен ежегодный мониторинг результатов реализации региональных программ, включающих мероприятия по увеличению периода активного долголетия и продолжительности здоровой жизни, в том числе оценено состояние здоровья граждан старше трудоспособного возраста, количество граждан старшего поколения занимающихся физической культурой и спортом на вновь созданных объектах, прошедших переподготовку и подготовку на специально организованных курсах, в том числе по вопросам компьютерной грамотности, и направлены соответствующие рекомендации органам исполнительной власти субъектов Российской Федерации о необходимости совершенствования таких программ.</t>
  </si>
  <si>
    <t>Минздравом России, Минтрудом России и Минспортом России в соответствии со сферами ведения ежегодно будет осуществлен мониторинг мероприятий региональных программ и, по его результатам, органам исполнительной власти субъектов Российской Федерации будут направлены рекомендации. Сводные данные по мониторингу мероприятий региональных программ, Минтрудом России с учетом данных Минздрава России и Минспорта России, будут ежегодно направляться в Правительство Российской Федерации.</t>
  </si>
  <si>
    <t xml:space="preserve">Не менее 95 процентов лиц старше трудоспособного возраста из групп риска, проживающих в  организациях социального обслуживания, прошли к концу 2024 года вакцинацию против пневмококковой инфекции </t>
  </si>
  <si>
    <t>Минздравом России будет обеспечено доведение до субъектов Российской Федерации иных межбюджетных трансфертов на проведение вакцинации против пневмококковой инфекции. Органами исполнительной власти будет ежегодно проводиться вакцинация граждан старше трудоспособного возраста из групп риска, проживающих в организациях социального обслуживания.</t>
  </si>
  <si>
    <t>Поддержаны проекты по внедрению отечественных продуктов, сервисов и платформенных решений, созданных на базе "сквозных" цифровых технологий, в субъектах Российской Федерации в рамках реализации дорожных карт по направлениям развития "сквозных" цифровых технологий</t>
  </si>
  <si>
    <t>Отобраны и поддержаны проекты внедрения отечественных продуктов, сервисов и платформенных решений, созданных на базе СЦТ, в субъектах Российской Федерации</t>
  </si>
  <si>
    <t>Разработаны и внедрены в практику клинические рекомендации по ведению 6 наиболее распространенных заболеваний, связанных с возрастом</t>
  </si>
  <si>
    <t>Профессиональными медицинскими некоммерческими организациями будут разработаны и направлены в Минздрав России клинические рекомендации по ведению 6 наиболее распространенных заболеваний, связанных с возрастом. После их одобрения Минздравом России клинические рекомендации будут утверждены профессиональными медицинскими некоммерческими организациями и размещены на сайте Минздрава России.</t>
  </si>
  <si>
    <t>В 2020-2024гг. проведены дополнительные скрининги лиц старше 65 лет, проживающих в сельской местности на выявления отдельных социально-значимых неинфекционных заболеваний, оказывающих вклад в структуру смертности населения, с возможностью доставки данных лиц в медицинские организации</t>
  </si>
  <si>
    <t>Минздравом России будут разработаны и утверждены программы скрининга лиц старше 65 лет, проживающих в сельской местности, на выявление отдельных социально-значимых неинфекционных заболеваний, оказывающих вклад в структуру смертности населения. Будут подготовлены нормативные правовые акты и механизм финансового обеспечения программ скрининга лиц старше 65 лет, проживающих в сельской местности, на выявление отдельных социально-значимых неинфекционных заболеваний, оказывающих вклад в структуру смертности населения. Органами государственной власти субъектов Российской Федерации в сфере охраны здоровья будет осуществлено проведение дополнительных скринингов лицам старше 65 лет, проживающим в сельской местности на выявление отдельных социально-значимых неинфекционных заболеваний, оказывающих вклад в структуру смертности населения, с возможностью доставки данных лиц в медицинские организации.</t>
  </si>
  <si>
    <t>Не менее 12 субъектов Российской Федерации, нарастающим итогом в 2019 году участвуют в пилотном проекте по созданию системы долговременного ухода за гражданами пожилого возраста и инвалидами, включающей сбалансированные социальное обслуживание и медицинскую помощь на дому, в полустационарной и стационарной форме с привлечением патронажной службы, а также поддержку семейного ухода 85 субъектов Российской Федерации, нарастающим итогом, 2020 год  – не менее 18 субъектов Российской Федерации, 2021 год – не менее 24 субъектов Российской Федерации, с 2022  - 85 субъектов Российской Федерации участвуют в создании системы долговременного ухода</t>
  </si>
  <si>
    <t>Минтрудом России совместно с Минздравом России по согласованию с органами исполнительной власти субъектов Российской Федерации будут определены не менее чем 12 «пилотных» субъектов Российской Федерации в 2019 году (18 в 2020 году, 24 в 2021 году (нарастающим итогом). Органами исполнительной власти «пилотных» регионов при методической поддержке Минтруда России и Минздрава России будет осуществлено поэтапное внедрение системы долговременного ухода (внедрение системы на территории регионов осуществляется поэтапно в течение трех лет), которая включает мероприятия по повышению эффективности межведомственного взаимодействия, включая процессы сбора, хранения и передачи информации о гражданах и их состояниях, характеризующих полную либо частичную утрату способности, либо возможности осуществлять самообслуживание, самостоятельно передвигаться, обеспечивать сохранение жизненных потребностей с целью планирования, координации оказания им социальных и иных услуг, медицинской помощи, организацию родственного ухода, проведение необходимых мероприятий на долговременной основе. Предполагается поддерживать развитие стационарозамещающих технологий, патронажных служб, а также совершенствование предоставления социальных услуг и медицинской помощи на дому.</t>
  </si>
  <si>
    <t>В 2019 году 8 процентов лиц старше трудоспособного возраста, признанных нуждающимися в социальном обслуживании, охвачены системой долговременного ухода в 12 пилотных регионах;
в 2020 году - 12 процентов лиц старше трудоспособного возраста, признанных нуждающимися в социальном обслуживании, охвачены системой долговременного ухода в 18 пилотных регионах;
в 2021 году - 16 процентов лиц старше трудоспособного возраста, признанных нуждающимися в социальном обслуживании, охвачены системой долговременного ухода в 24 пилотных регионах; 
в 2022 году - 100 процентов лиц старше трудоспособного возраста, признанных нуждающимися в социальном обслуживании, охвачены системой долговременного ухода в 85 регионах.</t>
  </si>
  <si>
    <t>Будет принят приказ Минтруда России «О реализации пилотного проекта по созданию системы долговременного ухода за гражданами пожилого возраста и инвалидами в «пилотных» регионах с 2019 года». Будут утверждены (актуализированы) региональные планы мероприятий по реализации «пилотного» проекта по созданию системы долговременного ухода в «пилотных» регионах. В пилотном проекте по созданию системы долговременного ухода за гражданами пожилого возраста и инвалидами в 2019 году будут принимать участие 12 субъектов Российской Федерации: Республика Мордовия, Республика Татарстан, Камчатский край, Ставропольский край, Волгоградская область, Кемеровская область, Кировская область, Костромская область, Новгородская область, Рязанская область, Тульская область, г. Москва. В 2019 году 11 субъектам Российской Федерации будут предоставлены иные межбюджетные трансферты из федерального бюджета в целях софинансирования расходных обязательств субъектов Российской Федерации, возникающих при создании системы долговременного ухода за гражданами пожилого возраста и инвалидами (г. Москва будет реализовывать проект за счет собственных средств). В ходе внедрения системы долговременного ухода 8 процентов лиц старше трудоспособного возраста, признанных нуждающимися в социальном обслуживании, будут охвачены системой долговременного ухода в 12 «пилотных» регионах.</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</si>
  <si>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 с применением льготного кредитования</t>
  </si>
  <si>
    <t>1. Российским кредитным организациям предоставляются субсидии на возмещение недополученных ими доходов по кредитам с льготной процентной ставкой, выданным организациям на реализацию проектов в приоритетных отраслях развития цифровой экономики.2. Отобраны и поддержаны проектыв в сфере информационных технологий</t>
  </si>
  <si>
    <t>Проведение ежегодного выборочного наблюдения состояния здоровья населения в целях оценки показателя ожидаемой продолжительности здоровой жизни</t>
  </si>
  <si>
    <t>Росстатом будет определена методика расчета показателя "Ожидаемая продолжительность здоровой жизни". Будет принято распоряжение Правительства Российской Федерации "О внесении изменений в Федеральный план статистических работ, утвержденный распоряжением Правительства Российской Федерации от 6 мая 2008 г. № 671-р" о включении показателя "Ожидаемая продолжительность здоровой жизни" в Федеральный план статистических работ. Информация о базовых и прогнозных значениях показателя "Ожидаемая продолжительность здоровой жизни" до 2024 года будет представлена Росстатом в Минтруд России. Показатель "Ожидаемая продолжительность здоровой жизни" будет включен в систему показателей национального проекта и федерального проекта. Росстатом будет ежегодно проведено выборочное наблюдение состояния здоровья населения в целях оценки показателя ожидаемой продолжительности здоровой жизни.</t>
  </si>
  <si>
    <t>Софинансирование за счет средств федерального бюджета программ субъектов Российской Федерации, направленных на обеспечение безопасных и комфортных условий предоставления социальных услуг в сфере социального обслуживания (в 2019 – в 17 субъектах Российской Федерации, 2020 – в 25 субъекта Российской Федерации,  2021 – в 24 субъектах Российской Федерации,  2022 – в 24 субъектах Российской Федерации, 2023 – в 24 субъектах Российской Федерации, 2024 – в 26 субъектах Российской Федерации)</t>
  </si>
  <si>
    <t>Минтрудом России будут рассмотрены заявки субъектов Российской Федерации на предоставление субсидий из федерального бюджета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(к таким условиям относятся размещение граждан в помещениях, оборудованных по квартирному типу, организация предоставления социальных услуг на принципах «сопровождаемого проживания», исключить случаи проживания в одной комнате больше 3-х человек и т.п.). Органами исполнительной власти субъектов Российской Федерации за счет субсидий из федерального бюджета будут проведены конкурсные процедуры и заключены государственные контракты на проведение работ по строительству (реконструкции) организаций социального обслуживания. Задача органов исполнительной власти субъектов Российской Федерации довести техническую готовность объектов капитального строительства, строящихся в субъектах Российской Федерации за счет средств федерального бюджета на софинансирование расходных обязательств субъектов Российской Федерации, связанных с реализацией государственных программ, направленных на обеспечение безопасных и комфортных условий предоставления социальных услуг в сфере социального обслуживания, до значений, установленных соглашениями. Минстроем России совместно с Минтрудом России и другими заинтересованными федеральными органами, а также общественными и экспертными организациями проведен конкурс концепт-проектов домов для проживания пожилых людей и определены современные требования к зданиям организаций, осуществляющих стационарное социальное обслуживание, в рамках национального проекта «Демография». В рамках данной работы концептуальные решения и современные требования будут подготовлены и направлены для использования в органы исполнительной власти субъектов Российской Федерации.</t>
  </si>
  <si>
    <t>Актуализированы санитарно-эпидемиологические требования к размещению, устройству, оборудованию, содержанию, санитарно-гигиеническому и противоэпидемическому режиму работы организаций социального обслуживания, отвечающие современным подходам организации предоставления социальных услуг и направленных на обеспечение безопасных и комфортных условий предоставления социальных услуг в сфере социального обслуживания</t>
  </si>
  <si>
    <t>Минтрудом России совместно с заинтересованными федеральными органами исполнительной власти, органами исполнительной власти субъектов Российской Федерации и общественными организациями будут подготовлены предложения по актуализации санитарно-эпидемиологических требований к размещению, устройству, оборудованию, содержанию, санитарно-гигиеническому и противоэпидемическому режиму работы организаций социального обслуживания и представлены в Роспотребнадзор. Роспотребнадзором до 1 октября 2019 года будут внесены изменения в санитарные правила СП 2.1.2.3358-16 «Санитарно-эпидемиологические требования к размещению, устройству, оборудованию, содержанию, санитарно-гигиеническому и противоэпидемическому режиму работы организаций социального обслуживания».</t>
  </si>
  <si>
    <t>Поддержаны проекты российских организаций по разработке цифровых платформ и программных продуктов в целях создания и (или) развития производства высокотехнологичной промышленной продукции</t>
  </si>
  <si>
    <t>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 увеличился до 19,1 процентов</t>
  </si>
  <si>
    <t>В субъекте Российской Федерации будут реализоваться государственные программы субъекта Российской Федерации, содержащие мероприятия по поддержке (стимулированию) негосударственных организаций социального обслуживания, в том числе, путем включения таких организаций в реестр поставщиков социальных услуг, предоставления им налоговых льгот и преференций, субсидирования процентной ставки по кредитам, полученным в российских кредитных организациях. Минтрудом  России будет осуществлен мониторинг реализации государственных программ субъектов Российской Федерации, указанная информация будет включена в годовой отчет  о ходе реализации  и оценке эффективности государственной программы Российской Федерации «Социальная поддержка граждан». Кроме того, будут подготовлены изменения в Налоговый кодекс Российской Федерации в части продления до 2025 года права применения налоговой ставки 0 процентов по налогу на прибыль для организаций, осуществляющих социальное обслуживание граждан</t>
  </si>
  <si>
    <t>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86,276 тыс. кв. м, для размещения 2520 граждан.
В 2024 году - 100%, введено в эксплуатацию 29 объектов, общей площадью 60,192 тыс. кв. м, для размещения  3971 граждан.</t>
  </si>
  <si>
    <t>Утверждены Правила предоставления средств федерального бюджета на реализацию мероприятий по организации профессионального обучения и дополнительного профессионального  образования лиц предпенсионного возраста</t>
  </si>
  <si>
    <t>Минтрудом России будут определены методологические подходы к реализации в субъектах Российской Федерации мероприятий по организации профессионального обучения и дополнительного профессионального  образования лиц предпенсионного возраста. Будет осуществлена разработка и доведение до органов исполнительной власти субъектов Российской Федерации методических рекомендаций по реализации мероприятий по профессиональному обучению и дополнительному профессиональному образованию граждан предпенсионного возраста, состоящих в трудовых отношениях, или ищущих работу. Будут определены методологические подходы и создана нормативно правовая база для реализации в субъектах Российской Федерации мероприятий по организации профессионального обучения и дополнительного профессионального  образования лиц предпенсионного возраста. Правительством Российской Федерации будут утверждены Правила предоставления субсидии из федерального бюджета Союзу «Агентство развития профессиональных сообществ и рабочих кадров «Молодые профессионалы (Ворлдскиллс Россия)» на реализацию мероприятий по обучению граждан предпенсионного возраста и независимой оценке их квалификаций, а также будут утверждены Правила предоставления и распределения иных межбюджетных трансфертов из федерального бюджета бюджетам субъектов Российской Федерации  на реализацию мероприятий по организации профессионального обучения и дополнительного профессионального  образования лиц предпенсионного возраста.</t>
  </si>
  <si>
    <t>Поддержаны проекты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t>
  </si>
  <si>
    <t xml:space="preserve">Сформированы мероприятия по ежегодной приоритизации объектов в субъектах Российской Федерации Дальневосточного федерального округа </t>
  </si>
  <si>
    <t>Для обеспечения приоритетного характера финансового обеспечения задач социально-экономического развития Дальневосточного федерального округа общий размер субсидий, предоставляемых бюджетам субъектов Российской Федерации, входящим в состав Дальневосточного федерального округа в очередном финансовом году, определенный на основании представленных ими заявок, составит не менее 5,5 процентов от общего размера субсидий, предоставляемых бюджетам субъектов Российской Федерации в очередном финансовом году (положение закреплено в постановлении Правительства Российской Федерации, утверждающем правила  предоставления субсидий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</si>
  <si>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В субъектах Российской Федерации определены участники мероприятий по профессиональному обучению и дополнительному профессиональному образованию: в 2019 году - для лиц предпенсионного возраста, в 2020-2024  годах - для лиц в возрасте 50-ти лет и старше, а также лиц предпенсионного возраста</t>
  </si>
  <si>
    <t>В 2019 году в  субъектах Российской Федерации будет организовано взаимодействие органов службы занятости с территориальных отделений ПФР, работодателями и образовательными организациями в целях формирования контингента участников мероприятий по профессиональному обучению и дополнительному профессиональному образованию лиц предпенсионного возраста, в 2020-2024 годах - для лиц в возрасте 50-и лет и старше, а также лиц предпенсионного возраста. В субъектах Российской Федерации будут сформированы списки граждан, желающих пройти профессиональное обучение или получить дополнительное профессональное образование (в 2019 году - лиц предпенсионного возраста, в 2020-2024 годах - лиц в возрасте 50-ти лет и старше, а также лиц предпенсионного возраста), перечни работодателей, готовых принять участие в мероприятии, перечни образовательных организаций, на базе которых планируется организовать обучение.</t>
  </si>
  <si>
    <t>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t>
  </si>
  <si>
    <t>На основании соглашений между Рострудом и высшими исполнительными органами государственной власти субъектов Российской Федерации будут реализованы мероприятия по профессиональному обучению и дополнительному профессиональному образованию в 2019 году - лиц предпенсионного возраста, в 2020-2024 годах - лиц в возрасте 50-ти лет и старше, а также лиц предпенсионного возраста. В 2019 году будут реализованы дополнительные сервисы на портале «Работа в России», в том числе для работодателей и граждан старшего возраста, направленных на повышение эффективности услуг в сфере занятости, а также иного функционала, направленного на повышение качества и доступности услуг по трудоустройству данной категории граждан. В 2019 году Минтрудом России будет сформирована отчетность по показателю "численность граждан предпенсионного возраста, прошедших профессиональное обучение и дополнительное профессиональное образование" (в целом по Российской Федерации и в разрезе субъектов Российской Федерации), в 2020-2024 году -  лиц в возрасте 50-и лет и старше, а также лиц предпенсионного возраста.</t>
  </si>
  <si>
    <t>1. Докапитализировано
 публичное акционерное общество «Государственная транспортная лизинговая
 компания» (далее – ПАО «ГТЛК) в объеме 3 млрд руб. в 2019 г. в целях реализации
 лизинговых сделок на льготных условиях для поддержки внедрения цифровых
 технологий и платформенных решений преимущественно на основе отечественных
 разработок в период 2020-2024 гг.
 2.
 Заключены
 лизинговые сделки на льготных условиях для поддержки внедрения цифровых
 технологий и платформенных решений преимущественно на основе отечественных
 разработок в объеме 10,3 млрд рублей в период 2020-2024 гг.
 3. Реализовано
 не менее 10 проектов по внедрению "сквозных" цифровых технологий и
 платформенных решений преимущественно на основе отечественных разработок путем
 реализации лизинговых сделок в период 2020-2024 гг.</t>
  </si>
  <si>
    <t>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 50-ти лет и старше, а также лиц предпенсионного возраста.</t>
  </si>
  <si>
    <t>В 2019 году Правительством Российской Федерации будут утверждены Правила предоставления субсидии из федерального бюджета Союзу «Агентство развития профессиональных сообществ и рабочих кадров «Молодые профессионалы (Ворлдскиллс Россия)» на реализацию мероприятий по обучению лиц предпенсионного возраста, также будут внесены изменения по включению с 2020 года в число участников мероприятий лиц в возрасте от 50-ти лет и старше. Будет предоставлена субсидия из федерального бюджета Союзу «Молодые профессионалы (Ворлдскиллс Россия)» на реализацию мероприятий по профессиональному обучению и дополнительному профессиональному образованию лиц предпенсионного возраста, с 2020 года - также лиц в возрасте 50-ти лет и старше. Ежегодно будет проведен чемпионат профессионального мастерства по стандартам WorldSkills для людей старше 50-ти лет "НАВЫКИ МУДРЫХ" Будет осуществлен мониторинг реализации мероприятий по профессиональному обучению и дополнительному профессиональному образованию лиц предпенсионного возраста (с 2020 года также лиц в возрасте 50-ти лет и старше) в целях оценки достижения показателей результативности.</t>
  </si>
  <si>
    <t>Проведена оценка влияния результатов национальных проектов в социальной сфере и науке и входящих в их состав федеральных проектов на достижение национальных целей развития Российской Федерации</t>
  </si>
  <si>
    <t>Обеспечено увеличение объема выручки проектов в сфере цифровых технологий, в том числе сквозных цифровых технологий, поддержанных фондом прямых инвестиций</t>
  </si>
  <si>
    <t>1.Обеспечена докапитализация АО«РОСНАНО» в
 объеме 2 млрд рублей в 2019 г. для создания фонда прямых инвестиций в целях
 поддержки проектов в сфере цифровых технологий (в том числе СЦТ).
 2.Фондом прямых инвестиций и/или его дочерними
 фондами обеспечена поддержка до 5 проектов в сфере цифровых технологий.
  3.Выручка
 проектов, поддержанных фондом прямых инвестиций и/или его дочерними Фондами,
 составит 1,5 млрд рублей в 2024 г.</t>
  </si>
  <si>
    <t>Реализация пилотного проекта по вовлечению частных медицинских организаций в оказание медико-социальных услуг лицам в возрасте 65 лет и старше</t>
  </si>
  <si>
    <t>Доработана государственная информационная система промышленности в целях создания и функционирования инфраструктуры, обеспечивающей реализацию проектов цифровой трансформации промышленности в Российской Федерации, в том числе в целях увеличения количества получателей мер поддержки</t>
  </si>
  <si>
    <t>​1.Обеспечено совершенствование архитектуры государственной информационной системы промышленности (ГИСП), включая:аудит ГИСП,реинжиниринг архитектуры ГИСП,разработку стратегии развития ГИСП, обеспечение безопасности ГИСП,разработку методических рекомендаций по определению индекса цифровой трансформации для проведения оценки уровня цифровизации промышленных предприятий.2. Обеспечено развитие статистического и аналитического контента ГИСП.3. Модернизированы или созданыи интегрированы в 2020-2021 годах не менее 10 модулей государственной информационной системы промышленности ежегодно.В результате реализации мероприятия к 2021 году достигнуто ежегодное увеличение числа организаций, получивших меры поддержки с использованием сервисов ГИСП,не менее чем на 10% по сравнению с 2019 годом.</t>
  </si>
  <si>
    <t>P1 ФП "Финансовая поддержка семей при рождении" начало</t>
  </si>
  <si>
    <t>Нуждающиеся семьи получат ежемесячные выплаты в связи с рождением (усыновлением) первого ребенка за счет субвенций из федерального бюджета</t>
  </si>
  <si>
    <t xml:space="preserve"> Минтрудом России субъектам Российской Федерации будут доведены лимиты бюджетных обязательств на осуществление переданных полномочий по назначению и выплате ежемесячной выплаты в связи с рождением (усыновлением) первого ребенка.   Органами исполнительной власти субъектов Российской Федерации будет осуществлено назначение и выплата ежемесячной выплаты в связи с Органами исполнительной власти субъектов Российской Федерации будет осуществлено назначение и выплата ежемесячной выплаты в связи с рождением (усыновлением) первого ребенка на основании заявлений граждан.
Минтрудом России будет осуществлен мониторинг предоставления ежемесячной выплаты в связи с рождением (усыновлением) первого ребенка за счет субвенций из федерального бюджета.
</t>
  </si>
  <si>
    <t>70 300,00</t>
  </si>
  <si>
    <t>73 400</t>
  </si>
  <si>
    <t>Семьи, имеющие двух и более детей, распорядились средствами материнского (семейного) капитала</t>
  </si>
  <si>
    <t xml:space="preserve">В целях оказания дополнительных мер государственной поддержки в виде материнского (семейного) капитала Пенсионным фондом Российской Федерации и его территориальными органами будет организован прием и своевременное рассмотрение заявлений о распоряжении средствами (частью средств) материнского (семейного) капитала, своевременное перечисление средств по принятым решениям.  Пенсионным фондом Российской Федерации и его территориальными органами в федеральный регистр лиц, имеющих право на дополнительные меры государственной поддержки, будет внесена информация о принятых решениях об удовлетворении заявлений о распоряжении средствами (частью средств) материнского капитала
 </t>
  </si>
  <si>
    <t>325 632,47</t>
  </si>
  <si>
    <t>316 428,11</t>
  </si>
  <si>
    <t>329 246,76</t>
  </si>
  <si>
    <t>299 699,38</t>
  </si>
  <si>
    <t>299 756,40</t>
  </si>
  <si>
    <t>268 047,80</t>
  </si>
  <si>
    <t>Семьи с двумя и более детьми воспользовались правом получения ипотечного кредита(займа) по ставке 6 процентов годовых</t>
  </si>
  <si>
    <t xml:space="preserve">Минфином России будут рассмотрены заявления кредитных организаций и акционерного общества "ДОМ.РФ" о предоставлении субсидии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с увеличением количества активно вовлеченных организаций, предоставляющих ипотечные кредиты (займы) гражданам, имеющим детей по ставке 6 процентов годовых. Российским кредитным организациям и акционерному обществу "ДОМ.РФ" Минфином России будут предоставлены субсидии из федерального бюджета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Минфином России будет размещена информация о количестве выданных российскими кредитными  организациями и АО "ДОМ.РФ" ипотечных кредитов (займов) гражданам Российской Федерации, имеющим детей, по ставке 6 процентов годовых, на сайте Минфина России по адресу www.minfin.ru/ru/perfomance/GovSupport/ord ers/
</t>
  </si>
  <si>
    <t>Семьи с тремя и более детьми получат ежемесечную денежную выплату, назначаемую в случае рождения третьего ребенка или последующих детей до достижения ребенком возраста 3 лет</t>
  </si>
  <si>
    <t xml:space="preserve">Органы исполнительной власти субъектов Российской Федерации, в отношении которых за счет бюджетных ассигнований федерального бюджета будет осуществляться софинансирование расходных обязательств субъектов Российской Федерации, возникающих при установлении нуждающимся в поддержке семьям ежемесячной денежной выплаты, предусмотренной пунктом 2 Указа Президента Российской Федерации от 7 мая 2012 г. № 606 "О мерах по реализации демографической политики Российской Федерации", будут приняты необходимые нормативные правовые акты. Минтрудом России с субъектами Российской Федерации будут заключены соглашения о предоставлении субсидии из федерального бюджета на софинансирование расходных обязательств субъектов Российской Федерации, возникающих при назначении ежемесячной денежной выплаты в связи с рождением третьего ребенка или последующих детей.
Минтрудом России будет осуществлен мониторинг предоставления ежемесячной денежной выплаты в связи с рождением третьего ребенка или последующих детей.
</t>
  </si>
  <si>
    <t>38 164,29</t>
  </si>
  <si>
    <t>45 843,26</t>
  </si>
  <si>
    <t>Реализован комплекс мероприятий, направленный на продвижение российских ИКТ-решений и цифровых платформ на зарубежных рынках</t>
  </si>
  <si>
    <t>51 866,53</t>
  </si>
  <si>
    <t>57 482,86</t>
  </si>
  <si>
    <t>42 500,00</t>
  </si>
  <si>
    <t>1. Проведение зарубежных роад-шоу российских ИКТ-решений;2. Организация и поддержка сети региональных представителей в целевых регионах – импортерах российских ИКТ-решений;3. Организация серии спецпроектов в ведущих зарубежных СМИ, направленных на повышение информированности целевых аудиторий о качестве российских ИКТ-решений;4. Разработка национального бренда и коммуникационной стратегии для международного продвижения российских ИКТ решений5. Застройка стендов на выставках по ИКТ, электронным правительствам, кибербезопасности, умным городам;6. Организация и проведение глобальных исследований - разработка рейтингов и индексов оценки уровня странового развития ИКТ, развития электронного правительства, кибербезопасности и умных городов.</t>
  </si>
  <si>
    <t>44 000</t>
  </si>
  <si>
    <t>Количество циклов экстракорпорального оплодотворения, выполненных семьям, страдающим бесплодием,за счетсредств базовой программы обязательного медицинского страхования</t>
  </si>
  <si>
    <t>Минздравом России совместно с органами исполнительной власти субъектов Российской Федерации  будет организована медицинская помощь семьям, страдающим бесплодием, с использованием экстракорпорального оплодотворения за счет средств базовой программы обязательного медицинского страхования. Органы исполнительной власти субъектов Российской Федерации будут осуществлять контроль за своевременным направлением медицинскими организациями, оказывающими первичную специализированную медицинскую помощь, пациентов с бесплодием на экстракорпоральное оплодотворение в сроки, установленные приказом Министерства здравоохранения Российской Федерации от 30 августа 2012 г. № 107н "О Порядке использования вспомогательных репродуктивных технологий, противопоказаниях и ограничениях к их применению".</t>
  </si>
  <si>
    <t>В 2019 году реализованы дополнительные меры, направленные на поддержку рождаемости на Дальнем Востоке,включающие оказание поддержки за счет средств федерального бюджетабюджетам субъектов Российской Федерации,входящихв состав Дальневосточного федерального округа,на осуществление единовременной выплаты прирождении первого ребенка,а также предоставление регионального материнского(семейного) капитала при рождении второго ребенка</t>
  </si>
  <si>
    <t xml:space="preserve">Будут определены дополнительные меры поддержки семей при рождении детей, предоставляемые в субъектах Российской Федерации Дальневосточного федерального округа, в отношении которых будет осуществляться софинансирование расходных обязательств за счет средств федерального бюджета. Органами исполнительной власти субъектов Российской Федерации, входящих в состав Дальневосточного федерального округа, будет представлена в Минтруд России информация о принятии дополнительных мер, направленных на поддержку рождаемости.
Минтрудом России будут представлены в Правительство Российской Федерации предложения о подходах к оказанию поддержки за счет средств федерального бюджета бюджетам субъектов Российской Федерации, входящих в состав Дальневосточного федерального округа
</t>
  </si>
  <si>
    <t>2 452,92</t>
  </si>
  <si>
    <t>Ежегодно обеспечено не менее 2,5 миллионов просмотровтелевизионных ирадиопрограмм, телевизионных документальных фильмов, Интернет-сайтов, направленных на сохранениесемейных ценностей,поддержку материнства и детства</t>
  </si>
  <si>
    <t>Роспечатью будет осуществелена государственная поддержка производства телевизионных и радиопрограмм, телевизионных документальных фильмов, направленных на сохранение семейных ценностей, поддержку материнства и детства, создания в информационнотелекоммуникационной сети "Интернет" тематических Интернет- ресурсов. Будут созданы и размещены в эфире теле- и радиоканалов телевизионные и радиопрограммы, телевизионные документальные фильмы, направленные на сохранение  семейных ценностей, поддержку материнства и детства, созданы в информационно-коммуникационной сети "Интернет" тематические Интернет-ресурсы</t>
  </si>
  <si>
    <t>Ежегодно тираж периодических печатных изданий,реализовавших проекты,направленные на сохранение семейных ценностей,поддержку материнства и детства, составил неменее 500 тысяч экземпляров</t>
  </si>
  <si>
    <t xml:space="preserve">Роспечатью будет оказана государственная поддержка периодическим печатным изданиям на реализацию проектов, направленных на сохранение семейных ценностей, поддержку материнства и детства. В периодических печатных изданиях будут реализованы проекты, направленные на сохранение семейных ценностей, поддержку материнства и детства.
</t>
  </si>
  <si>
    <t>Семьи,имеющие двух и более детей получили государственный сертификат на материнский (семейный) капитал</t>
  </si>
  <si>
    <t>В целях оказания дополнительных мер государственной поддержки в виде материнского (семейного) капитала Пенсионным фондом Российской Федерации и его территориальными органами будет организован прием и своевременное рассмотрение заявлений о выдаче государственного сертификата на материнский (семейный) капитал. Пенсионным фондом Российской Федерации и его территориальными органами в федеральный регистр лиц, имеющих право на дополнительные меры государственной поддержки, будет внесена информация о принятых в 2019 году решениях о выдаче государственного сертификата на материнский (семейный) капитал</t>
  </si>
  <si>
    <t>В субъектах Российской Федерации,входящих в состав Дальневосточного федерального округа,семьи при рождении первого ребенка получат единовременную выплату, семьям при рождении второго ребенка будет предоставлен региональный материнский(семейный) капитал</t>
  </si>
  <si>
    <t>Будет осуществлено софинансирование расходных обязательств за счет средств федерального бюджета дополнительных мер поддержки семей при рождении детей, предоставляемых в субъектах Российской Федерации, входящих в состав Дальневосточного федерального округа</t>
  </si>
  <si>
    <t>4 368,12</t>
  </si>
  <si>
    <t>4 428,18</t>
  </si>
  <si>
    <t xml:space="preserve">К концу 2024 года количество активно вовлеченных российских кредитных организаций, предоставляющих ипотечные кредиты(займы) семьям,имеющим двух и более детей,поставке 6 процентов годовых, увеличится в 5 раз (в ФП без конкретизации увеличения раз)
</t>
  </si>
  <si>
    <t>Минфином России будут рассмотрены заявления кредитных организаций и акционерного общества "ДОМ.РФ" о предоставлении субсидии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с увеличением количества активно вовлеченных организаций, предоставляющих ипотечные кредиты (займы) гражданам, имеющим детей по ставке 6 процентов годовых до 15 организаций в отчетном году.
Российским кредитным организациям и акционерному обществу "ДОМ.РФ" Минфином России будут предоставлены субсидии из федерального бюджета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Минфином России будет размещена информация о количестве выданных российскими кредитными организациями и АО "ДОМ.РФ" ипотечных кредитов (займов) гражданам Российской Федерации, имеющим детей, по ставке 6 процентов годовых, на сайте Минфина России по адресу www.minfin.ru/ru/perfomance/Go vSupport/orders/</t>
  </si>
  <si>
    <t>Внедрение цифровых технологий и платформенных решений в сферах государственного управления и оказания государственных услуг, в том числе в интересах населения и субъектов малого и среднего предпринимательства, включая индивидуальных предпринимателей</t>
  </si>
  <si>
    <t>Сформировано законодательство, обеспечивающее преимущественное использование государственными органами единой инфраструктуры электронного правительства</t>
  </si>
  <si>
    <t>11 500</t>
  </si>
  <si>
    <t>14 700</t>
  </si>
  <si>
    <t>18 200</t>
  </si>
  <si>
    <t>10 100</t>
  </si>
  <si>
    <t>9 200</t>
  </si>
  <si>
    <t>В 2019 году реализованы дополнительные меры, направленные на поддержку рождаемости на Дальнем Востоке,включающие оказание поддержки за счет средств федерального бюджета бюджетам субъектов Российской Федерации,входящих в состав Дальневосточного федерального округа,на осуществление ежемесячной денежной выплаты в связи с рождением третьего ребенка или последующих детей,независимо от величины суммарного коэффициента рождаемости в регионе</t>
  </si>
  <si>
    <t>Проведен комплекс исследовательских работ по теме:"Демографическая политика Российской Федерации:факторы стимулированияпринятия решенияорождении первого и второго ребенка, а также последующих детей"</t>
  </si>
  <si>
    <t>Разработаны и приняты федеральный закон и иные нормативные правовые акты, закрепляющие целевое состояние предоставления государственных и муниципальных услуг, в том числе: 
 - реестровую модель их предоставления; 
 - проактивность; 
 - экстерриториальность; 
 - типизацию и стандартизацию приоритетных региональных и муниципальных услуг; 
 - многоканальность; 
 - машиночитаемое описание процесса оказания услуг; 
 - исключение участия человека в процессе принятия решения при предоставлении приоритетных государственных услуг; 
 - единую систему сбора обратной связи от получателей услуг; 
 - иные направления совершенствования предоставления государственных услуг</t>
  </si>
  <si>
    <t>Определенные по результатам выполнения
 мероприятий 1.47 новые принципы предоставления государственных и муниципальных
 услуг отражены в разработанных и принятых законодательных и подзаконных
 нормативных правовых актах, а также обеспечена методологическая основв в части
 возможности оказания приоритетных (в том числе массовых и социально значимых)
 государственных (муниципальных) услуг и сервисов.</t>
  </si>
  <si>
    <t>P1 ФП "Финансовая поддержка семей при рождении" конец</t>
  </si>
  <si>
    <t>НАЧАЛО ФП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</si>
  <si>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Разработаны и приняты нормативные правовые акты и методические документы по вопросам ведения гражданами здорового образа жизни, основанные на рекомендациях Всемирной организации здравоохранения, включая создание на базе центров здоровья и центров медицинской профилактики, центров общественного здоровья</t>
  </si>
  <si>
    <t>Будут приняты нормативные правовые акты, основанные на рекомендациях Всемирной организации здравоохранения и направленные на:
- охрану здоровья граждан от табачного дыма и последствий потребления табака, а также электронных сигарет
- снижение потребления алкоголя;
- йодирование пищевой поваренной соли в целях профилактики заболеваний, связанных с дефицитом йода;
- сокращение потребления сахара и соли, ликвидацию
микронутриентной недостаточности.
Будет разработана Концепция осуществления государственной политики противодействия потреблению табака в Российской Федерации.
Будет разработана и утверждена приказом Минздрава России новая модель организации и функционирования центров общественного здоровья, в том числе будут разработаны и утверждены (одобрены) Минздравом России в установленном порядке:
- порядок организации и функционирования центров общественного здоровья, а также рекомендуемые нормативы по их размещению;
- требования к штатной численности и оснащению центров общественного здоровья;
- усовершенствованные формы учетно-отчетной документации, включая усовершенствованный паспорт здоровья и порядок его выдачи;
- усовершенствованные требования к сбору статистической информации о деятельности центров общественного здоровья, включая соответствующие формы документов и порядок их предоставления.
Будет разработан комплекс мер с целью обеспечения подготовки специалистов по специальности «общественное здоровье», основанной на лучших международных подходах и включающей изучение широкого круга вопросов профилактики заболеваний, укрепления здоровья населения. В медицинских вузах будут созданы кафедры и факультеты общественного здоровья с использованием имеющихся ресурсов.
В штатное расписание органов государственной власти субъектов РФ, а также органов местного управления будут включены штатные единицы специалистов по общественному здоровью.
Будет разработана и утверждена совместным приказом Минздрава России и Росстата методика оценки среднедушевого потребления алкоголя, включая незарегистрированное потребление спиртосодержащей продукции.</t>
  </si>
  <si>
    <t>К</t>
  </si>
  <si>
    <t>Обеспечено предоставление приоритетных массовых социально значимых государственных (муниципальных) услуг, государственных и иных сервисов в цифровом виде, в том числе в сфере выборов, образования и здравоохранения, в соответствии с целевым состоянием</t>
  </si>
  <si>
    <t>Гражданам Российской Федерации обеспечен доступ к оказанию массовых
 социально значимых государственных (муниципальных) услуг с учетом достижения
 целей цифровой трансформации, а также комплексных услуг по жизненным
 ситуациям:
 - реестровую
 модель их предоставления; 
 -
 проактивность; 
 -
 экстерриториальность; 
 - типизацию и
 стандартизацию приоритетных региональных и муниципальных услуг; 
 -
 многоканальность; 
 -
 машиночитаемое описание процесса оказания услуг; 
 - исключение
 участия человека в процессе принятия решения при предоставлении приоритетных
 государственных услуг; 
 - единую
 систему сбора обратной связи от получателей услуг; 
 - иные направления совершенствования
 предоставления государственных услуг</t>
  </si>
  <si>
    <t>Субъекты Российской Федерации обеспечили внедрение модели организации и функционирования центров общественного здоровья.</t>
  </si>
  <si>
    <t>Во всех (85) субъектах Российской Федерации органами исполнительной власти субъектов Российской Федерации и органами местного самоуправления с организационно-методическим сопровождением НМИЦ профилактической медицины Минздрава России будет осуществлено внедрение новой модели организации и функционирования центров общественного здоровья, включая создание на базе центров здоровья и центров медицинской профилактики первичных (межмуниципальные) и региональных центров общественного здоровья, внедрение новой учетно-отчетной документации.</t>
  </si>
  <si>
    <t>Разработаны и приняты законы, другие нормативные правовые акты и методические документы по вопросам здорового питания, включая закрепление понятия здорового, спортивного и иных видов питания, основанные на научных данных и рекомендациях Всемирной организации здравоохранения, Комиссии ФАО/ВОЗ по пищевым стандартам "Кодекс Алиментариус"</t>
  </si>
  <si>
    <t>Роспотребнадзором будут разработаны изменения в законодательство Российской Федерации, которыми будут закреплены понятия здорового, спортивного и иных видов питания, установлены требования к данному виду питания, которые в 2020 году будут приняты и опубликованы.
Правительством Российской Федерации будут утверждены нормативные правовые акты, касающиеся внедрения системы мониторинга продуктов питания, установления требований к спортивному питанию.
Роспотребнадзором будут внесены изменения в действующие нормативные правовые акты по вопросам здорового питания, разработаны методические документы по данным вопросам.
Будут принятые нормативные правовые акты, закрепляющие основанные на научных данных и рекомендациях ведущих международных организаций понятия здорового, спортивного и иных видов питания, и иные обязательные требования, что на законодательной основе обеспечит внедрение принципов здорового питания в целях улучшения состояния здоровья населения, связанного с питанием, в том числе снижения распространения алиментарно зависимых заболеваний среди населения, и доступности для населения пищевой продукции, отвечающей критериям качества и принципам здорового питания.</t>
  </si>
  <si>
    <t>Разработаны и приняты санитарные правила (СП), санитарные правила и нормы (СанПиН), направленные на совершенствование государственного регулирования в области качества пищевой продукции, и стимулирования производства пищевой продукции, отвечающей критериям качества и принципам здорового питания.</t>
  </si>
  <si>
    <t>Роспотребнадзором будут утверждены санитарные правила и нормы, касающиеся оптимизации питания населения, содержащие регламентацию дополнительных санитарно-эпидемиологических требований к организации питания на объектах социальной инфраструктуры, в частности, для детей и подростков, с учетом принципов здорового питания, в  целях укрепления здоровья обучающихся и воспитанников, профилактики инфекционных и неинфекционных заболеваний, а также совершенствования государственного регулирования в области качества пищевой продукции и производства пищевой продукции, отвечающей принципам здорового питания, в том числе обогащенной витаминами и микроэлементами</t>
  </si>
  <si>
    <t>Разработана и внедрена система мониторинга за состоянием питания различных групп населения в регионах, основанная на результатах научных исследований в области нутрициологии, диетологии и эпидемиологии, во взаимосвязи здоровья населения со структурой питания и качеством пищевой продукции</t>
  </si>
  <si>
    <t>Разработана и внедрена система мониторинга за состоянием питания различных групп населения в регионах, основанная на результатах научных исследований в области нутрициологии, диетологии и эпидемиологии, во взаимосвязи здоровья населения со структурой питания и качеством пищевой продукции к 15.12.2020 года.</t>
  </si>
  <si>
    <t>Строка 10 файла Увязки результата федерального проекта с направлением расходов федерального бюджета</t>
  </si>
  <si>
    <t>09 07 01 К P4 12400 611</t>
  </si>
  <si>
    <t>Увязка результата федерального проекта с направлением расходов федерального бюджета на 2019-2021 гг.</t>
  </si>
  <si>
    <t>Разработаны и внедрены формы статистической отчетности по вопросам здорового питания в регионах</t>
  </si>
  <si>
    <t>Роспотребнадзором будет разработана и утверждена форма статистической отчетности, которая, на основании выборочного наблюдения состояния здоровья населения, позволит получить достоверные данные о структуре здорового питания в отдельных группах населения в различных регионах.</t>
  </si>
  <si>
    <t>Обеспечен доступ населения к отечественным пищевым продуктам, способствующим устранению дефицита микро- и макронутриентов, в том числе усилен лабораторный контроль за показателями качества пищевой продукции и соответствия ее принципам здорового питания</t>
  </si>
  <si>
    <t>В целях оценки эффективности указанных выше результатов в 2024 году будет проведен повторный анализ наличия возможности у населения приобретать пищевую продукцию отвечающую принципам здорового питания, что позволит дать заключение по обеспеченности населения доступом к таким продуктам и сформировать необходимые мероприятия по коррекции питания.
Подведомственными Роспотребнадзору центрами гигиены и эпидемиологии будет проведен лабораторный контроль за показателями качества пищевой продукции.</t>
  </si>
  <si>
    <t>Обеспечено информирование о доступных электронных услугах и сервисах электронного правительства, а также о преимуществах использования механизмов получения государственных и муниципальных услуг в электронной форме, в том числе путем установления единых стандартов популяризации электронных услуг</t>
  </si>
  <si>
    <t>Разработана стратегия информирования и
 популяризации цифровой экономики, цифровых услуг и сервисов, предоставляемых
 посредством единого портала государственных и муниципальных услуг (функций), а
 также единой цифровой среды государственных интернет-ресурсов в модели «одного
 окна» как для физических, так и юридических лиц и предпринимателей.
 Разработаны (актуализированы)
 информационные материалы в целях обеспечения процесса информирования и
 популяризации цифровой экономики, цифровых услуг и сервисов, предоставляемых
 посредством единого портала государственных и муниципальных услуг (функций), а
 также единой цифровой среды государственных интернет-ресурсов в модели «одного
 окна» как ля физических, так и юридических лиц и предпринимателей.
 В 2019 году сформирован федеральный
 медиаплан проведения популяризационных кампаний в период 2019-2021гг.,
 разработаны информационные материалы и проведена охватная информационно-популяризационная
 кампания на телевидении и в сети Интернет, направленная на рост знания и
 использования электронных услуг и сервисов электронного правительства. Проведена
 1я волна исследования по изучению уровня знания цифровых государственных
 сервисов, их потребления и барьеров использования. 
 В 2020 году сформированы и
 актуализированы информационные материалы для проведения федеральных
 популяризационных кампаний на телевидение и в сети интернет, согласно
 медиаплану. Проведена 2я волна исследования по изучению уровня знания цифровых
 государственных сервисов, их потребления и барьеров использования. 
 В 2021 году сформированы и
 актуализированы информационные материалы для проведения федеральных
 популяризационных кампаний на телевидение и в сети интернет, согласно
 медиаплану. Проведена 3я волна исследования по изучению уровня знания цифровых
 государственных сервисов, их потребления и барьеров использования.</t>
  </si>
  <si>
    <t>На базе учреждений Роспотребнадзора созданы современные испытательные лабораторные центры, укомплектованные необходимым оборудованием для определения показателей качества пищевой продукции, идентификации биологически активных веществ, пищевых добавок в соответствии с международными методиками и методами, включая Комиссию ФАО/ВОЗ по пищевым стандартам "Кодекс Алиментариус"</t>
  </si>
  <si>
    <t>В 2019 году приказом Роспотребнадзора будут организованы на базе 6 учреждений Роспотребнадзора современные испытательные лабораторные центры, в 2020 году приказом Роспотребнадзора будут организованы на базе 11 учреждений Роспотребнадзора современные испытательные лабораторные центры (всего 17 лабораторных центров).
Указанные центры Роспотребнадзора будут оснащены оборудованием для определения показателей качества пищевой продукции, идентификации биологически активных веществ, пищевых добавок в соответствии с международными методиками и методами, включая Комиссию ФАО/ВОЗ по пищевым стандартам «Кодекс Алиментариус».
Созданная и укомплектованная необходимым оборудованием для определения показателей качества пищевой продукции, идентификации биологически активных веществ и пищевых добавок лабораторная база обеспечит возможность создания и внедрения региональных и межрегиональных программ по проведению необходимых исследований.</t>
  </si>
  <si>
    <t>Строка 18 файла Увязки результата федерального проекта с направлением расходов федерального бюджета</t>
  </si>
  <si>
    <t>09 07 01 К P4 12500 612</t>
  </si>
  <si>
    <t>Созданы 5 научно-методических образовательных центров по вопросам здорового питания в регионах на базе учреждений Роспотребнадзора и ФГБУН "ФИЦ питания и биотехнологии".</t>
  </si>
  <si>
    <t>Приказом Роспотребнадзора в 2019 году будет создано 5 научно-методических и образовательных центров по вопросам здорового питания в регионах на базе учреждений Роспотребнадзора и ФГБУН «ФИЦ питания и биотехнологии».
Также приказом Роспотребнадзора будут установлены требования к указанным центрам, их функции.
Научно-методическая и образовательная деятельность указанных центров будет включать работу с населением для формирования приверженности граждан принципам здорового питания, мотивации к потреблению полноценного питания, снижающего дефицит микронутриентов</t>
  </si>
  <si>
    <t>Строка 24 файла Увязки результата федерального проекта с направлением расходов федерального бюджета</t>
  </si>
  <si>
    <t>09 07 01 К P4 12600 612</t>
  </si>
  <si>
    <t>На базе 5 научно-методических образовательных центров по вопросам здорового питания с учетом региональных особенностей во взаимосвязи со структурой питания для различных возрастных групп населения, разработаны рекомендации в целях профилактики возникновения алиментарно зависимых заболеваний</t>
  </si>
  <si>
    <t>Указанными центрами в течение 2020-2024 годов с учетом системы мониторинга за состоянием питания различных групп населения в регионах будут разработаны рекомендации и образовательные программы по вопросам здорового питания, подготовленные с учетом региональных особенностей и направленные на различные группы организованного населения (контингент социальных организаций, детские коллективы, профессиональные группы и др.)</t>
  </si>
  <si>
    <t>Муниципальные образования внедрили муниципальные программы общественного здоровья</t>
  </si>
  <si>
    <t>В 100% муниципальных образований на основании рекомендованной Минздравом России  типовой муниципальной программы по укреплению общественного здоровья органами местного самоуправления будут утверждены муниципальные программы по укреплению общественного здоровья (нарастающим итогом), предусмотрено соответствующее финансирование.
В соответствии с данными программами будет продолжена реализация мероприятий по снижению действия основных факторов риска НИЗ, первичной профилактике заболеваний полости рта, а также мероприятий, направленных на профилактику заболеваний репродуктивной сферы у мужчин.</t>
  </si>
  <si>
    <t>Субъекты Российской Федерации обеспечили внедрение разработанных научно-обоснованных адресных образовательных и просветительских программ по вопросам здорового питания. Увеличен охват граждан адресными образовательными и просветительскими программами по вопросам здорового питания</t>
  </si>
  <si>
    <t>Центрами гигиены и эпидемиологии Роспотребнадзора в субъектах Российской Федерации будут проведены лекции, учебно-методические занятия, консультирование по вопросам здорового питания для различных групп населения, направленные на формирование приверженности граждан принципам здорового питания, мотивации к потреблению полноценного питания, снижающего дефицит микронутриентов, которыми планируется охватить 5 млн человек в 23 субъектах Российской Федерации в 2020 году, 10 млн человек (нарастающим итогом) в 45 субъектах Российской Федерации в 2021 году, 15 млн человек (нарастающим итогом) в 60 субъектах Российской Федерации в 2022 году, 20 млн человек (нарастающим итогом) в 70 субъектах Российской Федерации в 2023 году, 30 млн человек (нарастающим итогом) в 80 субъектах Российской Федерации в 2024 году.</t>
  </si>
  <si>
    <t>Подготовлен и опубликован (Государственный) доклад о состоянии здорового питания в Российской Федерации</t>
  </si>
  <si>
    <t>На основании сведений системы мониторинга за состоянием питания различных групп населения в регионах, результатов лабораторного контроля продуктов питания Роспотребнадзором в 2024 году будет подготовлен и опубликован доклад о состоянии здорового питания в Российской Федерации. Опубликованный доклад будет содержать сведения о проведенном анализе структуры питания различных групп населения в разрезе регионов и рекомендации с учетом принципов здорового питания.</t>
  </si>
  <si>
    <t>Реализованы региональные программы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</si>
  <si>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В 2019 году будет разработан Минздравом России и принят Правительством Российской Федерации нормативный правовой акт, регламентирующий предоставление субсидий региональным органам исполнительной власти в сфере охраны здоровья на реализацию мероприятий с привлечением социально ориентированных некоммерческих организаций и волонтерских движений по формированию приверженности здоровому образу жизни, включая снижение вредного потребления алкоголя, борьбу с курением и профилактику репродуктивного здоровья.
Согласно указанным правилам Минздравом России с 2020 года будут заключены соглашения с органами исполнительной власти субъектов Российской Федерации и предоставлены соответствующие субсидии, которые будут на конкурсной основе распределены некоммерческим организациям и волонтерским движениям.</t>
  </si>
  <si>
    <t>Внедрено типовое автоматизированное рабочее место госслужащего в органах государственной власти на базе отечественного программного обеспечения</t>
  </si>
  <si>
    <t>Строка 32 файла Увязки результата федерального проекта с направлением расходов федерального бюджета</t>
  </si>
  <si>
    <t>В органах государственной власти
 внедрено типовое автоматизированное рабочее место государственного служащего на
 базе отечественного ПО. Обеспечена совместимость ведомственных информационных
 систем на совместимость с отечественным ПО за счет их доработки. Создан реестр
 типовых решений и проект стандарта по ТАРМ. 
 Приняты акты Правительства РФ об
 использовании реестра типовых решений. Утвержден план перехода на ТАРМ.Создание
 программной среды типового автоматизированного рабочего места государственного
 служащего.2019г. – Утвержден временный стандарт рабочего места
 государственного служащего.2020г. – доработан временный стандарт рабочего места
 государственного служащего.
 Дальнейшие мероприятия плана будут определены по
 результатам проведения эксперимента, предусмотренного ППРФ № 1114 от
 28.08.2019.</t>
  </si>
  <si>
    <t>09 02 01 К P4 12200 612</t>
  </si>
  <si>
    <t>Доля аудитории граждан старше 12 лет, охваченной коммуникационной кампанией по основным каналам: телевидение, радио и в информационно-телекоммуникационной сети «Интернет»</t>
  </si>
  <si>
    <t>Минздравом России с привлечением ФГБУ «НМИЦ профилактической медицины» Минздрава России будет проводиться ежегодный мониторинг результатов реализации региональных проектов, по итогам которого будут разработаны и размещены на сайте Минздрава России с организационно-методическим сопровождением НМИЦ профилактической медицины Минздрава России рекомендации по наилучшим практикам реализации волонтерства в сфере охраны здоровья.</t>
  </si>
  <si>
    <t>Строка 38 файла Увязки результата федерального проекта с направлением расходов федерального бюджета</t>
  </si>
  <si>
    <t>09 02 01 К P4 13000 612</t>
  </si>
  <si>
    <t>Обеспечено не менее 150 тысяч просмотров телевизионных и радиопрограмм, телевизионных документальных фильмов, Интернет-сайтов, направленных на пропаганду здорового образа жизни, физической культуры, спорта и здорового питания</t>
  </si>
  <si>
    <t>НМИЦ профилактической медицины Минздрава России будут проведены конкурсные процедуры и заключены государственные контракты на проведение информационно-коммуникационной кампании с использованием основных телекоммуникационных каналов для всех целевых аудиторий.
Будет представлен отчет о проведении информационно-коммуникационной кампании.
Основными направлениями информационно-коммуникационной кампании будут являться: пропаганда сокращения потребления алкоголя; пропаганда сокращения потребления табака, а также иных форм потребления никотина; пропаганда ответственного отношения к рациону питания; пропаганда ответственного отношения к репродуктивному здоровью и повышение приверженности вакцинации. НМИЦ профилактической медицины Минздрава России в 2019 году будет проведен ежегодный Всероссийский форум по общественному здоровью, участие в котором приняли не менее 500 представителей из медицинских, образовательных и научных организаций, органов государственной власти, включая органы государственной власти субъектов Российской Федерации, органов местного самоуправления, общественных объединений и некоммерческих организаций.</t>
  </si>
  <si>
    <t>Строка 46 файла Увязки результата федерального проекта с направлением расходов федерального бюджета</t>
  </si>
  <si>
    <t>12 01 01 K P4 64940 812</t>
  </si>
  <si>
    <t>Разработка рекламно-информационных материалов для проведения информационно-коммуникационной кампании с использованием основных телекоммуникационных каналов для всех целевых аудиторий</t>
  </si>
  <si>
    <t>Обеспечено не менее 150 тысяч просмотров телевизионных и радиопрограмм, телевизионных документальных фильмов, Интернет-сайтов, направленных на пропаганду здорового образа жизни, физической культуры, спорта и здорового питания.</t>
  </si>
  <si>
    <t>Строка 49 файла Увязки результата федерального проекта с направлением расходов федерального бюджета</t>
  </si>
  <si>
    <t>09 02 01 K P4 12300 612</t>
  </si>
  <si>
    <t>Создан информационный ресурс, направленный на защиту потребителей от недостоверной информации о продукции, в том числе не соответствующей принципам здорового питания, и содержащий результаты оценки качества пищевой продукции, проводимой Роспотребнадзором</t>
  </si>
  <si>
    <t>​Будет разработано дополнительно не менее 15 рекламно-информационных материалов для проведения информационно-коммуникационной кампании с использованием основных телекоммуникационных каналов для всех целевых аудиторий.</t>
  </si>
  <si>
    <t>Обеспечено развитие и функционирование федеральной государственной информационной системы «Единая информационная система управления кадровым составом государственной гражданской службы Российской Федерации»</t>
  </si>
  <si>
    <t>Строка 55 файла Увязки результата федерального проекта с направлением расходов федерального бюджета</t>
  </si>
  <si>
    <t>Реализовано развитие и функционирование
 федеральной государственной информационной системы "Единая информационная
 система управления кадровым составом государственной гражданской службы
 Российской Федерации".
 Реализация в ФГИС «Единая
 информационная система управления кадровым составом государственной гражданской
 службы Российской Федерации» подсистемы оценки соответствия специальности,
 знаний сотрудников и претендентов квалификационным требованиям для замещения
 должностей; сервисов дистанционного и интерактивного обучения и повышения
 квалификации сотрудников, а также технических решений для информационного
 взаимодействия по вопросам противодействия коррупции, соответствующего
 требованиям информационной безопасности, в том числе посредством интеграции с
 информационной системой в области противодействия коррупции, эксплуатируемой в
 Администрации президента Российской Федерации.</t>
  </si>
  <si>
    <t>09 07 01 K P4 12700 611</t>
  </si>
  <si>
    <t>Созданы не менее 21 рекламно-информационных материалов по вопросам здорового питания, включая для демонстрации (передачи) по телевидению, радио и в информационно-телекоммуникационной сети "Интернет"</t>
  </si>
  <si>
    <t>Роспотребнадзором будет создан информационный ресурс, который позволит организовать деятельность по защите потребителей от недостоверной информации о продукции, в том числе не соответствующей принципам здорового питания, посредством наполнения ресурса данными, содержащими в том числе результаты оценки качества пищевой продукции, проводимой Роспотребнадзором. Создание мобильной версии модуля ГИС ЗПП «Здоровое питание» позволит расширить круг потребителей, имеющих доступ к информации о продукции, в том числе не соответствующей принципам здорового питания, посредствам наполнения ресурса данными, содержащими в том числе результаты оценки качества пищевой продукции, проводимой Роспотребнадзором.</t>
  </si>
  <si>
    <t>Строка 68 файла Увязки результата федерального проекта с направлением расходов федерального бюджета</t>
  </si>
  <si>
    <t>09 07 01 K P4 12800 611</t>
  </si>
  <si>
    <t>Созданы не менее 15 видов печатной продукции по вопросам здорового питания (журналы, брошюры, буклеты, плакаты).</t>
  </si>
  <si>
    <t>Роспотребнадзором будет разработана Концепция реализации информационно-коммуникационной кампании, на основании которой будут определены основные телекоммуникационные каналы для всех целевых аудиторий по обеспечению  демонстраций (передач) данных созданных рекламно-информационных материалов по вопросам здорового питания для достижения цели формирования приверженности граждан принципам здорового питания.
Проведенные анализ и оценка реализации информационно-коммуникационной кампании позволят корректировать подготовленные рекламные материалы и каналы привлечения населения к информации.</t>
  </si>
  <si>
    <t>Строка 79 файла Увязки результата федерального проекта с направлением расходов федерального бюджета</t>
  </si>
  <si>
    <t>09 07 01 K P4 12900 611</t>
  </si>
  <si>
    <t>Обеспечено не менее 5,9 миллионов демонстраций (передач) рекламно-информационных материалов по телевидению, радио и в информационно-телекоммуникационной сети "Интернет" не менее 21 рекламно-информационных материалов по вопросам здорового питания</t>
  </si>
  <si>
    <t>Роспотребнадзором будет обеспечено распространение созданной печатной продукции тиражом не менее 50 тысяч экземпляров по вопросам здорового питания в субъектах Российской Федерации, что 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</si>
  <si>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Строка 86 файла Увязки результата федерального проекта с направлением расходов федерального бюджета</t>
  </si>
  <si>
    <t>09 07 01 K P4 13100 611</t>
  </si>
  <si>
    <t>Субъекты Российской Федерации обеспечены печатной продукцией по вопросам здорового питания (журналы, брошюры, буклеты, плакаты)</t>
  </si>
  <si>
    <t>Роспотребнадзор обеспечит демонстрацию (передачи), созданных рекламно-информационных материалов по вопросам здорового питания по телевидению, радио и в информационно-телекоммуникационной сети «Интернет», что 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</si>
  <si>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Строка 93 файла Увязки результата федерального проекта с направлением расходов федерального бюджета</t>
  </si>
  <si>
    <t>09 07 01 K P4 12100 611</t>
  </si>
  <si>
    <t>Проведена оценка результатов (эффективности) информационно-коммуникационной кампании по вопросам здорового питания с использованием основных коммуникационных каналов для всех целевых аудиторий</t>
  </si>
  <si>
    <t>Роспотребнадзор обеспечит распространение созданной печатной продукции по вопросам здорового питания в 80 субъектах Российской Федерации, что 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</si>
  <si>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Строка 100 файла Увязки результата федерального проекта с направлением расходов федерального бюджета</t>
  </si>
  <si>
    <t>09 07 01 K P4 13200 611</t>
  </si>
  <si>
    <t>Проведен анализ и сопоставление информации об управлении данными в отобранных органах власти в целях разработки единых требований к управлению данными в информационных ресурсах органов власти, разработаны и утверждены единые требования к управлению данными в информационных ресурсах органов власти, проведен анализ и сопоставление информации о внедрении единых требований к управлению данными в информационных ресурсах органов власти</t>
  </si>
  <si>
    <t>Внедрены корпоративные программы, содержащие наилучшие практики по укреплению здоровья работников</t>
  </si>
  <si>
    <t>Будет проведена оценка результатов (эффективности) информационно-коммуникационной кампании по вопросам здорового питания с использованием основных коммуникационных каналов для всех целевых аудиторий</t>
  </si>
  <si>
    <t>Оказание методологической поддержки врамках создания и внедрения национальной
 системы управления данными:
 1. утверждение реестра видов данных иих владельцев среди государственных органов
 власти,
 2. подготовка концепции национальнойсистемы управления данными,
 3. одобрение функциональных итехнических требований к информационным
 системам национальной системыуправления данными,
 4. утверждение единых требований куправлению данными и их жизненным циклом,
 5. обеспечение внедрения целевой моделиуправления национальной системы управления
 данными и взаимного соответствия инормализации данных в информационных
 ресурсах государственных органов власти.</t>
  </si>
  <si>
    <t>09 07 01 K P4 13300 611</t>
  </si>
  <si>
    <t>Обеспечено с 2021 по 2024 год наполнение системы мониторинга за состоянием питания различных групп населения в регионах новыми аналитическими данными по оценке состояния питания населения</t>
  </si>
  <si>
    <t>По итогам пилотного проекта будет проработан вопрос о необходимости внесения изменений в законодательство Российской Федерации, включая Трудовой кодекс Российской Федерации, предусматривающие необходимость для работодателей внедрять корпоративные программы по укреплению здоровья работников.
В субъектах Российской Федерации с организационно-методическим сопровождением НМИЦ профилактической медицины Минздрава России с привлечением Фонда социального страхования Российской Федерации будет проведена информационно-разъяснительная работа с работодателями в целях внедрения корпоративных программ по укреплению здоровья работников.
Работодателями будут проведены мероприятия, указанные в корпоративных программах, включая привлечение медицинских работников центров общественного здоровья и центров здоровья для обследования работников и проведения школ и лекционных занятий по формированию здорового образа жизни, отказа от курения и употребления алкогольных напитков, перехода на здоровое питание. Примеры наилучших результатов по проведению корпоративных программ будут опубликованы на сайте Минздрава России, интернет-сайтах органов исполнительной власти пилотных регионов и в средствах массовой информации в рамках информационно-коммуникационной кампании.</t>
  </si>
  <si>
    <t>Строка 101 файла Увязки результата федерального проекта с направлением расходов федерального бюджета</t>
  </si>
  <si>
    <t>Обеспечено с 2021 по 2024 год функционирование и пополнение новыми приобретенными данными информационного ресурса, направленного на защиту потребителей от недостоверной информации о продукции</t>
  </si>
  <si>
    <t>Строка 107 файла Увязки результата федерального проекта с направлением расходов федерального бюджета</t>
  </si>
  <si>
    <t>09 07 01 K P4 13400 611</t>
  </si>
  <si>
    <t>Тираж периодических печатных изданий, реализовавших проекты, направленные на пропаганду здорового образа жизни, физической культуры, спорта и здорового питания, составил не менее 50 тысяч экземпляров.</t>
  </si>
  <si>
    <t>​Роспечатью в соответствии с установленным порядком будет оказана государственная поддержка периодическим печатным изданиям на реализацию проектов, направленных на пропаганду здорового образа жизни, физической культуры, спорта и здорового питания.</t>
  </si>
  <si>
    <t>Строка 113 файла Увязки результата федерального проекта с направлением расходов федерального бюджета</t>
  </si>
  <si>
    <t>12 02 01 K P4 64941 812</t>
  </si>
  <si>
    <t>Внедрены дополнительные мероприятия в региональные, муниципальные и корпоративные программы укрепления здоровья граждан, направленные на обеспечение опережающей динамики показателей общественного здоровья в субъектах Российской Федерации, входящих в Дальневосточный федеральный округ.</t>
  </si>
  <si>
    <t>При методическом участии ФГБОУ ВО ТГМУ Минздрава России будут разработаны муниципальные и корпоративные программы  по повышению приверженности граждан  принципам здорового образа жизни, включая снижение потребления алкоголя и табака, ликвидацию микронутриентной недостаточности,  для субъектов Российской Федерации, входящих в Дальневосточный федеральный округ.</t>
  </si>
  <si>
    <t>Разработаны дополнительные мероприятия в региональные, муниципальные и корпоративные программы укрепления здоровья граждан, направленные на обеспечение опережающей динамики показателей общественного здоровья в субъектах Российской Федерации, входящих в Дальневосточный федеральный округ.</t>
  </si>
  <si>
    <t>Будут внедрены дополнительные муниципальные и корпоративные программы по повышению числа граждан, приверженных здоровому образу жизни во всех субъектах Дальневосточного федерального округа.</t>
  </si>
  <si>
    <t>Обеспечена возможность доступа пользователей в модели «одного окна» посредством единого портала государственных и муниципальных услуг (функций) к информации, созданной органами государственной власти, органами местного самоуправления и органами государственных внебюджетных фондов в пределах своих полномочий, а также к иной общедоступной информации, в том числе с использованием единого стандарта визуально-графического оформления и единых инструментов информационно-контентного наполнения</t>
  </si>
  <si>
    <t>Развитие ФГИС ЕПГУ в рамках данного
 мероприятия предполагает создание единого канала подачи обращений (жалоб)
 граждан в государственные органы, учреждения с возможностью их автоматической маршрутизации,
 категоризации, рассмотрения и оценки качества полученного результата
 рассмотрения, а также механизма электронных голосований, общественных
 обсуждений, формирования единой статистики по обращениям и результатам
 голосований.
 Реализован функционал на базе
 федеральной государственной информационной системы «Единый портал
 государственных и муниципальных услуг (функций)», обеспечивающий доступ пользователей в модели «одного окна» к
 информации, созданной органами государственной власти, органами местного
 самоуправления и органами государственных внебюджетных фондов в пределах своих
 полномочий, а также к иной общедоступной информации, в том числе с
 использованием единого стандарта визуально-графического оформления и единых
 инструментов информационно-контентного наполнения</t>
  </si>
  <si>
    <t>Будет проведена оценка необходимости принятия дополнительных мер, направленных на формирование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 Разработаны и внесены в Правительство Российской Федерации проекты нормативных правовых актов</t>
  </si>
  <si>
    <t>​Будет проведена оценка необходимости принятия дополнительных мер, направленных на формирование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
Будут разработаны, обсуждены с заинтересованными федеральными органами исполнительной власти и внесены в Правительство Российской Федерации дополнительные меры, направленные на формирование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t>
  </si>
  <si>
    <t>Подведены итоги информационно-коммуникационной кампании с использованием основных телекоммуникационных каналов для всех целевых аудиторий</t>
  </si>
  <si>
    <t>Будут подведены итоги информационно-коммуникационной кампании с организационно-методическим сопровождением НМИЦ профилактической медицины Минздрава России с использованием основных телекоммуникационных каналов для всех целевых аудиторий. Будет представлен итоговый отчет о подведенных итогах реализации информационно-коммуникационной кампании</t>
  </si>
  <si>
    <t>Для работодателей разработаны модельные корпоративные программы, содержащие наилучшие практики по укреплению здоровья работников</t>
  </si>
  <si>
    <t xml:space="preserve">Минздравом России с организационно-методическим сопровождением НМИЦ профилактической медицины Минздрава России в 2019 году будут разработаны и утверждены модельные корпоративные программы, содержащие наилучшие практики по укреплению здоровья работников, включая внедрение экономических механизмов воздействия на работодателя и проведение мероприятий, направленных на создание условий для ведения и продвижения здорового образа жизни, снижение действия основных факторов риска НИЗ (профилактику курения и помощь в отказе от табака; расширение физической активности; снижение уровня стресса; продвижение принципов здорового питания); проведение скрининга и раннего выявления заболеваний; вовлечение работников в программы по укреплению здоровья на рабочем месте, а также в программы, реализуемые региональным и/или муниципальным центром общественного здоровья. Указанные программы будут размещены на сайте Минздрава России и Фонда социального страхования. С участием Фонда социального страхования модельные программы будут доведены до работодателей.
</t>
  </si>
  <si>
    <t>Проведена оценка необходимости внедрения дополнительных решений в модельные корпоративные программы, содержащие наилучшие практики по укреплению здоровья работников</t>
  </si>
  <si>
    <t>Центрами общественного здоровья с организационно-методическим сопровождением НМИЦ профилактической медицины Минздрава России будет проведена оценка результатов и необходимости внедрения дополнительных решений в модельные корпоративные программы, содержащие наилучшие практики по укреплению здоровья работников.
Будут разработаны и внедрены (при необходимости) дополнительные решения по модельным корпоративным программам, содержащим наилучшие практики по укреплению здоровья работников.
Модельные программы будут адаптированы, исходя из штатной численности предприятия, направления трудовой деятельности, наличия/отсутствия штатной медицинской службы, региональных особенностей.</t>
  </si>
  <si>
    <t>КОНЕЦ ФП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</si>
  <si>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В соответствии с утверждёнными едиными требованиями и разработанным планом-графиком перехода обеспечено взаимное соответствие и нормализация данных, используемых при межведомственном электронном взаимодействии, в информационных ресурсах государственных органов власти (в рамках формирования Национальной системы управления данными)</t>
  </si>
  <si>
    <t>Создается
 федеральная государственная информационная система «Единая информационная
 платформа Национальной системы управления данными». В 2019 году будет
 осуществлен ее ввод в опытную эксплуатацию, в 2020 году будет завершена опытная
 эксплуатация, в 2021 году система будет введена в промышленную эксплуатацию. 
 Создается федеральная государственная
 информационная система «Единая информационная платформа Национальной системы
 управления данными». В 2019 году будет осуществлен ее ввод в опытную
 эксплуатацию, в 2020 году будет завершена опытная эксплуатация, в 2021 году
 система будет введена в промышленную эксплуатацию.</t>
  </si>
  <si>
    <t>НАЧАЛО ФП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t>
  </si>
  <si>
    <t>Проведены физкультурные и комплексные физкультурные мероприятия для всех категорий и групп населения</t>
  </si>
  <si>
    <t>Проведены всероссийские мероприятия и изготовлена медиапродукция по пропаганде физической культуры и спорта</t>
  </si>
  <si>
    <t>В организации спортивной подготовки, в том числе спортивные школы по хоккею, поставлено новое спортивное оборудование и инвентарь</t>
  </si>
  <si>
    <t>Все организации спортивной подготовки предоставляют услуги населению в соответствии с федеральными стандартами спортивной подготовки</t>
  </si>
  <si>
    <t>Подготовлены новые кадры и проведено повышение квалификации специалистов в сфере физической культуры и спорта</t>
  </si>
  <si>
    <t>Создана платформа идентификации, включая биометрическую идентификацию, облачную квалифицированную электронную подпись, цифровые профили гражданина и юридического лица, а также единое пространство доверия электронной подписи на базе единой системы идентификации и аутентификации</t>
  </si>
  <si>
    <t>Обеспечена возможность
 централизованного хранения
 разрешений на выполнение доверенных действий (полномочий) от физических и
 юридических лиц, в том числе на подачу заявлений на получение государственных и
 муниципальных услуг.Обеспечена возможность
 обновления сведений в ЕСИА из государственных информационных системы в
 режиме онлайн.
 Облегчение использования пользователями
 квалифицированной электронной подписи за счет упрощения построения цепочки
 доверия к сертификатам на оборудовании пользователей за счет доверенного
 распространения сертификата в программных продуктах отечественных ИТ-компаний
 при использовании российской криптографии.</t>
  </si>
  <si>
    <t>Проведены спортивные соревнования в системе подготовки спортивного резерва</t>
  </si>
  <si>
    <t>Поставлены комплекты спортивного оборудования (малые спортивные формы и футбольные поля)</t>
  </si>
  <si>
    <t>Выполнена научно-исследовательская работа по разработке моделей развития и управления системой занятий физической культурой и спортом</t>
  </si>
  <si>
    <t>Выполнена научно-исследовательская работа, включающая социологический опрос, для определения факторов мотивации населения к систематическим занятиям физической культурой и спортом</t>
  </si>
  <si>
    <t>Во всех субъектах Российской Федерации организовано тестирование населения на соответствие государственным требованиям к уровню физической подготовленности Всероссийского физкультурно-спортивного комплекса "Готов к труду и обороне" (ГТО)</t>
  </si>
  <si>
    <t>Некоммерческими организациями реализованы проекты в сфере физической культуры и спорта</t>
  </si>
  <si>
    <t>Выполнено научное исследование по разработке современных форм и методик занятий физической культурой и спортом</t>
  </si>
  <si>
    <t>Проведена Специальная олимпиада России для инвалидов с умственной отсталостью</t>
  </si>
  <si>
    <t>Разработана, внедрена и обеспечена сопровождением Автоматизированная информационная система проектной деятельности «Типовое облачное решение по автоматизации проектной деятельности органов государственной власти»</t>
  </si>
  <si>
    <t>Разработана, внедрена и обеспечена сопровождением
 Автоматизированная информационная система проектной деятельности «Типовое
 облачное решение по автоматизации проектной деятельности органов государственной
 власти»Планируется исключение мероприятия из фед. проекта и нац. программы, поскольку по Постановлению Правительства РФ 1288-п указано, что проектная деятельность должна вестись в ГИИС "ЭБ" (соответственно указанный результат является дублирующим).</t>
  </si>
  <si>
    <t>Проведены физкультурные мероприятия, в том числе направленные на совершенствование физической подготовки сотрудников правоохранительных органов и органов безопасности</t>
  </si>
  <si>
    <t>Введены в эксплуатацию плоскостные спортивные сооружения в сельских территориях</t>
  </si>
  <si>
    <t>Построены и введены в эксплуатацию объекты спорта в рамках реализации федеральной целевой программы "Развитие физической культуры и спорта в Российской Федерации на 2016-2020 годы"</t>
  </si>
  <si>
    <t xml:space="preserve">Построены и введены в эксплуатацию объекты спорта  региональной собственности </t>
  </si>
  <si>
    <t>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t>
  </si>
  <si>
    <t>Построен и введен в эксплуатацию детский спортивно-образовательный центр круглогодичного профиля в Калининградской области</t>
  </si>
  <si>
    <t>Создана и функционирует платформа межведомственного взаимодействия и обмена данными, в том числе нормативной справочной информацией, на базе системы межведомственного электронного взаимодействия и единой системы нормативной справочной информации</t>
  </si>
  <si>
    <t>Усовершенствована и эксплуатируется платформа межведомственного
 взаимодействия и обмена данными, в том числе нормативной справочной
 информацией, на базе системы межведомственного электронного взаимодействия и
 единой системы нормативной справочной информации.
 Модернизация механизмов распространения, хранения, актуализации и
 использования нормативной справочной информации, а также данных с непостоянной
 степенью изменчивости. 
 Обеспечение рефакторинга портала ЕСНСИ,
 улучшение эргономики, обеспечение редизайна и развитие механизмов разграничения
 прав доступа с введением многофакторных прав доступа к справочникам ЕСНСИ.
 Разработка контекстных подсказок ЕСНСИ.
 Реализация подсказок для граждан и бизнеса.
 Повышение качества нормативной
 справочной информации, содержащейся в ИС органов и организаций, с
 использованием средств ЕСНСИ.</t>
  </si>
  <si>
    <t>Построен и введен в эксплуатацию объект спорта в с. Ансалта (Республика Дагестан)</t>
  </si>
  <si>
    <t>Улучшена материально-техническая база объектов спорта в субъектах Российской Федерации-победителях Фестиваля культуры и спорта народов Кавказа</t>
  </si>
  <si>
    <t>В организации спортивной подготовки поставлено спортивное оборудование в рамках федеральной целевой программы "Развитие физической культуры и спорта в Российской Федерации на 2016-2020 годы"</t>
  </si>
  <si>
    <t>В организации спортивной подготовки поставлены комплекты искусственных футбольных полей в рамках федеральной целевой программы "Развитие физической культуры и спорта в Российской Федерации на 2016-2020 годы"</t>
  </si>
  <si>
    <t>Реализованы проекты государственно-частного партнерства по созданию объектов спорта в рамках федеральной целевой программы "Развитие физической культуры и спорта в Российской Федерации на 2016-2020 годы"</t>
  </si>
  <si>
    <t>Обеспечено создание единой цифровой платформы обеспечения деятельности Президента Российской Федерации, Председателя Правительства Российской Федерации, палат Федерального Собрания, Совета Безопасности Российской Федерации, Администрации Президента Российской Федерации, Аппарата Правительства Российской Федерации при осуществлении ими своих полномочий</t>
  </si>
  <si>
    <t>1. Созданы сегмент ЕЦП ОГВ в интересах
 поддержки деятельности и принятия управленческих решений Президента Российской
 Федерации, Председателя Правительства Российской Федерации при осуществлении
 ими своих полномочий.
 2. Созданы сегмент ЕЦП ОГВ в интересах
 палат Федерального Собрания на основе разработки и внедрения современных
 цифровых технологий в нормотворческий процесс.
 3. Созданы сегмент ЕЦП ОГВ в
 интересах Совета Безопасности Российской Федерации, Администрации Президента
 Российской Федерации, Аппарата Правительства Российской Федерации, доступ к
 которому ограничен федеральными законами.
 Осуществление развития информационных
 систем, входящих в состав ЕЦП ОГВ для обеспечения деятельности Президента
 Российской Федерации, Председателя Правительства Российской Федерации,
 Федерального Собрания Российской Федерации, включая:
 ·
 Разработку специального
 программного обеспечения;
 ·
 Проведение тематических
 исследований разработанного СПО;
 ·
 Опытную эксплуатацию
 разработанного СПО; 
 ·
 Модернизацию СПО; 
 ·
 Проведение тематических
 исследований модернизированного СП; 
 ·
 Внедрение СПО.
 Разработка
 сегмента ЕЦП ОГВ в интересах Администрации Президента Российской Федерации,
 Аппарата Правительства Российской Федерации, Совета Безопасности Российской Федерации,
 доступ к которой ограничен федеральными законами. Разработка сегмента ЕЦП ОГВ в
 интересах поддержки деятельности Председателя Правительства Российской
 Федерации при осуществлении им своих полномочий.</t>
  </si>
  <si>
    <t>Поставлены комплекты спортивного оборудования для спортивных площадок в Республику Крым и город федерального значения Севастополь 
 в рамках федеральной целевой программы "Развитие физической культуры и спорта в Российской Федерации на 2016-2020 годы"</t>
  </si>
  <si>
    <t>Разработана и утверждена межотраслевая программа развития школьного спорта</t>
  </si>
  <si>
    <t xml:space="preserve">Разработана и утверждена межотраслевая программа развития студенческого спорта  </t>
  </si>
  <si>
    <t>Разработана и утверждена межведомственная программа "Плавание для всех"</t>
  </si>
  <si>
    <t>Разработан и утвержден комплекс мероприятий по развитию физической культуры и спорта среди граждан старшего возраста</t>
  </si>
  <si>
    <t>Привлечено внебюджетных средств на создание спортивной инфраструктуры</t>
  </si>
  <si>
    <t>Внедрен в деятельность органов государственной власти и органов местного самоуправления, а также подведомственных им организаций, межведомственный юридически значимый электронный документооборот с применением электронной подписи, базирующийся на единых инфраструктурных, технологических и методологических решениях</t>
  </si>
  <si>
    <t>Введена в эксплуатацию
 платформа юридически значимого электронного документооборота, обеспечивающая межведомственный
 юридически значимый электронный документооборот с применением электронной
 подписи, базирующийся на общих инфраструктурных, технологических и
 методологических решениях, обеспечивающих автоматизацию процессов
 документационной деятельности
 Разработка требований к
 платформе юридически значимого электронного документооборота (далее – ЮЗЭДО) и
 ее сервисам, а также порядка ее использования.
 Создание и ввод в
 эксплуатацию Платформы ЮЗЭДО.
 На сегодняшний день в
 органах власти внедрены системы документооборотов Некоторые ведомства перешли
 на полностью безбумажный оборот с применением усиленных квалифицированных
 подписей, существует межведомственный документооборот МЭДО. Данный технический
 задел позволяет достигнуть показателей первых годов реализации программы. К
 2021 г. в деятельность органов
 государственной власти и органов местного самоуправления, а также
 подведомственных им организаций планируется внедрить единый электронный документооборот с применением электронной
 подписи, базирующийся на единых инфраструктурных, технологических и
 методологических решениях.</t>
  </si>
  <si>
    <t>КОНЕЦ ФП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t>
  </si>
  <si>
    <t>НАЧАЛО ФП Информационная безопасность</t>
  </si>
  <si>
    <t>Обеспечено функционирование платформы поиска работы и подбора персонала на базе информационно-аналитической системы Общероссийская база вакансий «Работа в России»</t>
  </si>
  <si>
    <t>Обеспечено функционирование платформы
 поиска работы и подбора персонала на базе информационно-аналитической системы
 Общероссийская база вакансий «Работа в России», включая:
 Обеспечено взаимодействие между
 образовательными учреждениями, работодателями и студентами/выпускниками при
 организации стажировок и практик посредством электронного документооборота;
 Обеспечена интеграция с системами
 независимой оценки квалификации;
 Обеспечено развитие современных методов
 получения и анализа информации о рынке труда с применением технологий «больших
 данных»;
 Обеспечено формирование и внедрение
 справочника и моделей компетенций с применением технологий сопоставления
 данных;
 Реализованы сервисы по оптимизации
 подбора резюме/вакансий с использованием машинного обучения, включая
 профилирование лиц, ищущих работу;
 Разработаны инструменты поддержки
 работодателей и соискателей с использованием человеко-машинных комплексов;
 Внедрены дистанционные сервисы в сфере
 содействия занятости (1 очередь).</t>
  </si>
  <si>
    <t>Создано единое окно цифровой обратной связи, включая обращения, жалобы, в том числе по государственным услугам, функциям, сервисам</t>
  </si>
  <si>
    <t>Создано единое окно цифровой обратной
 связи, включая обращения, жалобы, в том числе по государственным услугам,
 функциям, с использованием технологий изучения общественного мнения и
 формирования механизма обратной связи.
 Обеспечена возможность для граждан и
 организаций централизованного направления
 обращений и жалоб в электронном виде для всех систем государственной
 цифровой платформы предоставления гражданам государственных и муниципальных
 услуг в электронном виде с помощью информационной системы "Единое окно
 цифровой обратной связи, включая обращения, жалобы, техническую поддержку и
 контроль качества по государственным услугам, функциям, сервисам" (ЕОЦОС)
 и использование технологии изучения общественного мнения. 
 Создание и развитие ЕОЦОС позволит объединить механизмы интерактивного
 взаимодействия с гражданами и организациями путем интеграции каналов общения в
 единый сервис, что позволит наиболее эффективно интегрировать между собой
 информационные системы, связанные с обращениями граждан по вопросам получения
 государственных услуг в электронном виде, работой служб технической поддержки и
 электронных сервисов ведомств.
 Создание нормативной и методологической основы для
 развития системы оценки качества государственных и муниципальных услуг и
 создания единого механизма (единой платформы) оценки качества массовых государственных
 и муниципальных услуг, функций и сервисов, подачи и обработки поступивших
 обращений, жалоб, отзывов и предложений в адрес органовгосударственной власти и органов местного самоуправления с
 использованием технологии изучения общественного мнения и механизмов
 искусственного интеллекта, включая «дорожную карту», концепцию, методическое и
 организационное
 обеспечение создания и внедрения единой платформы в масштабах
 всех органов власти и мест оказания услуг. Разработано техническое задание на
 создание единого механизма (диной платформы) оценки качества массовых государственных
 и муниципальных услуг, функций, сервисов.
 Обеспечение доработки и внедрения информационных
 систем, использующихся для предоставления или оценки услуг, функций, сервисов,
 в целях обеспечения интеграции
 доработанных систем с единой платформой и оценки качества услуг, функций,
 сервисов»</t>
  </si>
  <si>
    <t>За счет применения единых требований приведены в соответствие данные, используемые при межведомственном электронном взаимодействии, в государственных информационных системах, обеспечено единство форматов и атрибутов данных, автоматизированы процессы межведомственного взаимодействия при оказании государственных услуг и исполнения функций федеральными органами исполнительной власти (сформирована Национальная система управления данными)</t>
  </si>
  <si>
    <t>ЕИП НСУД разработана,
 аттестована, находится в промышленной эксплуатации; в ФОИВ созданы витрины
 данных, ФОИВ подключены к НСУД и обмениваются данными в рамках исполнения своих
 функций, оказания госуслуг и предоставления суперсервисов посредством НСУД;
 Проведён архитектурный аудит всех ФГИС; Создана, ведётся и используется в ЕИП
 НСУД государственная модель данных; Обеспечивается систематический анализ
 качества данных, используемых в НСУД;
 Обеспечивается эксплуатация ЕИП НСУД в соответствии с установленным SLA;
 Обеспечивается эксплуатация среды разработки и стенда главного конструктора;
 Архитектурный репозиторий НСУД содержит всю необходимую информацию о ключевых
 архитектурных элементах НСУД и связанных с ней систем для развития и
 модернизации ЕИП НСУД</t>
  </si>
  <si>
    <t>Обеспечено развитие системы «Мир» и введение, функционирование и развитие удостоверения личности гражданина («электронный паспорт») Российской Федерации</t>
  </si>
  <si>
    <t>Обеспечено развитие системы «Мир» и введение,
 функционирование и развитие удостоверения личности гражданина («электронный
 паспорт») Российской Федерации.
 Запущен функционал получения,
 верификации на границе электронной визы для въезда в Российскую Федерацию,
 электронной миграционной карты. Обеспечена возможность оплаты задолженности на
 границе и онлайн снятие ограничения на выезд на всей территории Российской Федерации.
 Обеспечен переход ведомственного сегмента ФСБ России системы «Мир» на
 отечественное программное обеспечение.</t>
  </si>
  <si>
    <t>Обеспечено функционирование и развитие инфраструктуры электронного правительства, а также информационных систем, направленных на предоставление государственных услуг и исполнение государственных функций в электронном виде</t>
  </si>
  <si>
    <t>Информационные
 системы инфраструктуры электронного правительства должны функционировать с
 интегральным показателем качества равным значению не менее 0,97 при заданных
 нагрузочных показателях, учитывающих естественный рост нагрузки, и сроках
 реагирования на возможные события.</t>
  </si>
  <si>
    <t>Сформирована цифровая платформа для взаимодействия в сфере стратегического управления в целях согласованности действий участников стратегического планирования на всех уровнях государственного управления в достижении стратегических приоритетов</t>
  </si>
  <si>
    <t>Цифровая платформа для
 взаимодействия в сфере стратегического управления в целях согласованности
 действий участников стратегического планирования на всех уровнях
 государственного управления в достижении стратегических приоритетов,
 включающая: - аналитический блок – оценка и сравнительный анализ, включая
 сервис динамической визуализации экономической связанности элементов и моделей
 (2022 год); - сервис по разработке стратегий, планов по их реализации, программ
 и прогнозов (включая конструкторы разработки документов и типовые инструменты)
 (2022 год); - сервис по стратегическому аудиту и по формированию цифровой
 отчетности по запросам пользователей (аудит стратегий) (2021, 2022 гг.); -
 сервис построения оптимального решения и оценки принимаемых решений в сфере
 стратегического управления на федеральном, отраслевом, региональном и
 корпоративном уровне на среднесрочный и долгосрочный период (с использованием
 имитационных моделей) (2022); - сервис общественных коммуникаций по вопросам
 стратегического управления (2021 год); - ИТ-сервисы (в том числе коммерческие
 продукты) в области кастомизированного агрегирования и трансформации данных,
 формирования предиктивной аналитики и прогнозов, создания персонализированных
 сервисов поддержки принятия долгосрочных решений по «жизненным ситуациям»,
 направленные на монетизацию данных цифровой платформы (2024 год).</t>
  </si>
  <si>
    <t>Внедрена система управления жизненным циклом объектов капитального строительства на основе технологий информационного моделирования («Цифровое строительство»)</t>
  </si>
  <si>
    <t>Финансирование работы аспирантов и молодых ученых не только повысит уровень благосостояния этих групп населения, но и положительно скажется на информационно-технологическом развитии субъектов РФ. Кроме того, мероприятия в области информационной безопасности для задач цифровой экономики могут положительно повлиять на работу организаций различных отраслей, привести к повышению частоты финансовых транзакций. Это, в свою очередь, окажет влияние на развитие этих предприятий и повышению их прибыли.</t>
  </si>
  <si>
    <t>Обеспечена возможность долгосрочного архивного хранения электронных документов с сохранением их юридической значимости для федеральных и региональных органов государственной власти</t>
  </si>
  <si>
    <t>Поддержка экспортно-ориентированных российских производителей продуктов и услуг ИКТ положительно скажется на развитии соответствующих предприятий в субъектах РФ, что увеличит их прибыль. Это может привести к росту уровня заработной платы работников таких предприятий, либо количества рабочих мест для специалистов, обладающих необходимой квалификацией.</t>
  </si>
  <si>
    <t>Разработана, введена в эксплуатацию и
 функционирует платформа долгосрочного хранения электронных документов,
 представляющая собой программно-технические решения, обеспечивающие
 долговременное хранение массивов электронных документов в неизменном состоянии,
 в том числе, с использованием современных «облачных технологий»
 Создание и ввод в эксплуатацию платформы ЦХЭД.</t>
  </si>
  <si>
    <t>Использование технологий распределенных реестров (например, блокчейна) при создании государственных информационных ресурсов будет способствовать развитию предприятий субъектов РФ, осуществляющих такую деятельность, появлению новых рабочих мест, требующих компетенций в области криптографии. Помимо этого, ГИС и ГИР, работающие с использование технологий распределенных реестров, упростят, удешевят, обезопасят и сделают более прозрачными государственные услуги для граждан, что позитивно скажется на уровне их доходов.</t>
  </si>
  <si>
    <t>Разработана методология сбора данных и расчета показателя внутренних затрат на развитие цифровой экономики, расчета базовых значений целевого показателя «Увеличение внутренних затрат на развитие цифровой экономики за счет всех источников (по доле в валовом внутреннем продукте страны) не менее чем в три раза по сравнению с 2017 годом»</t>
  </si>
  <si>
    <t>1. Определены
 источники информации для расчета значений показателя;2. Сформированы
 предложения по корректировке форм официального статистического наблюдения, в
 целях их использования в качестве источников информации;
 3. Сформирован
 алгоритм расчета значений показателя, позволяющий охватить все источники затрат
 на развитие цифровой экономики в Российской Федерации.</t>
  </si>
  <si>
    <t>Разработана и утверждена методология статистических наблюдений и измерения параметров развития цифровой экономики</t>
  </si>
  <si>
    <t>Разработана и утверждена методология
 статистических наблюдений и организованы измерения параметров развития цифровой
 экономики, включая измерение эффектов цифровой трансформации отраслей экономики
 и социальной сферыДанный результат зафиксирован как
 ключевые параметры: · -На 2019 год запланировано утверждение методологии
 статистических наблюдений параметров развития цифровой экономики, включая
 измерение эффектов цифровой трансформации отраслей экономики и социальной
 сферы. Контроль сроков выполнения данного ключевого параметра реализуется через
 дополнительную контрольную точку;· -в период 2019-2024 гг будут организованы измерения параметров
 развития цифровой экономики, включая измерение эффектов цифровой трансформации
 отраслей экономики и социальной сферы. Значения данного результата (1 условная
 единица в период с 2019-2024 гг) отражает общегодовой статус измерения
 параметров развития цифровой экономики.В рамках достижения результата будут
 сформированы:– Понятия, определения, классификация,
 система показателей и инструментарий длястатистического измерения параметров развития
 цифровой экономики– Оценка показателей цифровой трансформации
 отраслей экономики и социальной сферы– Пилотные обследования организаций с
 целью апробации предложений по актуализации инструментария федерального статистического наблюдения.– Информационная база по показателям
 цифровой экономики для принятия управленческих решений, в т.ч. по показателям нацпроекта
 и федпроектов– Новые методологические подходы к
 статнаблюдению, в т.ч. с использованием потоковых данных– Статистический контент</t>
  </si>
  <si>
    <t>Меры и финансовая поддержка производителей отечественного программного обеспечения положительно скажутся на развитии соответствующих предприятий в субъектах РФ, что увеличит их прибыль. Это может привести к росту уровня заработной платы работников таких предприятий, либо количества рабочих мест для специалистов, обладающих необходимой квалификацией.</t>
  </si>
  <si>
    <t>КОНЕЦ ФП Информационная безопасность</t>
  </si>
  <si>
    <t>В органах прокуратуры обеспечено функционирование для всех сотрудников современных автоматизированных рабочих мест и сервисов работы с цифровыми данными на базе защищенной катастрофоустойчивой инфраструктуры Генеральной прокуратуры Российской Федерации</t>
  </si>
  <si>
    <t>Современная
 импортозамещенная инфраструктура обеспечивает работников прокуратуры
 автоматизированными рабочими местами с предоставлением доступа к информационным
 системам и сервисам:- сервисов поддержки прокурорской деятельности, создание
 информационной системы «Личный кабинет прокурора», подсистем «Формирование актов прокурорского
 реагирования и административное производство», «Управление задачами прокурора»,
 «Проведение прокурорских проверок», «Антикоррупционная экспертиза нормативных
 правовых актов», информационно-технологического обеспечения электронного
 обучения работников органов и организаций прокуратуры Российской Федерации;- программных продуктов для работы с электронными
 документами, таблицами, презентациями (офисный пакет);- услуг электронной почты закрытого сегмента;- услуг предоставления доступа к видеоконференцсвязи;- услуг предоставления доступа к информационной системе
 межведомственного электронного взаимодействия Генеральной прокуратуры
 Российской Федерации;- услуг предоставления доступа к ведомственному
 программно-техническому комплексу автоматизации финансово-хозяйственной
 деятельности органов и организаций прокуратуры Российской Федерации; - услуг предоставления доступа к государственной
 автоматизированной системе правовой статистики (ГАС ПС);- услуг предоставления доступа к федеральной
 государственной информационной системе «Единый реестр проверок»;- услуг предоставления доступа к информационной системе
 электронного документооборота;- услуг предоставления доступа к единому порталу органов прокуратуры
 (внутренний портал);- услуг предоставления доступа к справочно-правовой
 информационной системе;- услуг обеспечения информационной безопасности в составе:- ПО антивирусной защиты;- ПО защиты от несанкционированного доступа;-
 ПО анализа
 защищенности;- ПО для организации защищенного удаленного подключения;- средство доверенной загрузки;
 - ПО шифрования данных на носителях.</t>
  </si>
  <si>
    <t>Обеспечена экспертно-аналитическая и организационно-методическая поддержка реализации национальной программы «Цифровая экономика Российской Федерации»</t>
  </si>
  <si>
    <t>Представлены экспертно-аналитические
 материалы (доклад/отчет/стратегия/программа) с результатами работы по
 сопровождению цифровой экономики (ежегодно)</t>
  </si>
  <si>
    <t>Создана и функционирует Дирекция национальной программы «Цифровая экономика Российской Федерации»</t>
  </si>
  <si>
    <t>Обеспечено методическое, включая информационно-аналитическое и организационно-техническое, и консультационное сопровождение, в том числе обеспечение проектной и контрактной деятельности Минкомсвязи России, связанной с реализацией национальной программы «Цифровая экономика Российской Федерации», внедрение и применение информационно-коммуникационных технологий в целях управления и контроля за реализацией Национальной программы</t>
  </si>
  <si>
    <t>Обеспечено предоставление цифровых сервисов для участников избирательного процесса</t>
  </si>
  <si>
    <t>В результате цифровизации
 избирательного процесса обеспечены:
 - доступность процедуры голосования для
 избирателей вне зависимости от места их нахождения;
 - организация деятельности
 избирательных комиссий на основе цифровых данных об избирателях и других
 участниках избирательного процесса, получаемых в том числе с использованием
 национальной системы управления данными;
 - предоставление цифровых сервисов для
 участников избирательного процесса
 Разработаны методология перехода на
 цифровую платформу реализации основных гарантий избирательных прав и права на
 участие в референдуме граждан Российской Федерации, функциональные и
 технические требования к цифровой платформе для реализации цифровых сервисов,
 утвержден перечень цифровых сервисов, сформированы требования к сервисам,
 разработаны регламенты предоставления сервисов.
 Приняты
 изменения в законодательство Российской Федерации и в нормативные акты ЦИК
 России, необходимые для реализации цифровых сервисов для участников
 избирательного процесса.
 Реализованы
 цифровые сервисы для участников избирательного процесса (в том числе
 голосование для избирателей вне зависимости от места их нахождения, организации
 деятельности избирательных комиссий на основе цифровых данных об избирателях и
 других участниках избирательного процесса, предоставления избирательными
 комиссиями цифровых сервисов для избирателей, кандидатов на замещаемую посредством
 выборов должность, наблюдателей, средств массовой информации) в личных
 кабинетах участников избирательного процесса. Обеспечена возможность
 голосования избирателей вне зависимости от места их нахождения.
 Обеспечено
 централизованное ведение, хранение, актуализация и анализ данных об избирателях
 и участниках референдума с учетом данных, предоставляемых из государственных
 информационных систем других государственных органов в рамках национальной
 системы управления данными. Избирательным комиссиям предоставлен доступ к
 цифровой платформе для обеспечения реализации их полномочий, планирования и
 проведения избирательных кампаний, определения результатов выборов.</t>
  </si>
  <si>
    <t>Обеспечено официальное опубликование и размещение правовых актов на «Официальном интернет-портале правовой информации" (www.pravo.gov.ru)» государственных органов Российской Федерации и организаций международного сотрудничества</t>
  </si>
  <si>
    <t>Повышение эффективности реализации государственных функций по направлению правовой информатизации Российской Федерации и обеспечение эффективной работы органов власти при реализации типовых функций и взаимодействия граждан и организаций с государством</t>
  </si>
  <si>
    <t>Созданы информационные системы поддержки принятия решений высшими органами государственной власти</t>
  </si>
  <si>
    <t>Создан комплекс информационных систем поддержки принятия решений высшими органами государственной власти с использованием технологий изучения общественного мнения</t>
  </si>
  <si>
    <t>Усовершенствованы механизмы обработки обращений, мониторинга и анализа результатов рассмотрения обращений. Подключены к инфраструктуре единой системы по работе с обращениями граждан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t>
  </si>
  <si>
    <t>Создана инфраструктура Единой сети по
 работе с обращениями граждан, осуществлено подключение к ней большого
 количества государственных органов, органгов местного самоуправления,
 государственных и муниципальных учреждений, иных организаций, осуществляющих
 публично значимые функции, а также внедрено СПО, реализующее единый механизм
 обработки обращений, мониторинга и анализа результатов рассмотрения обращений.
 Разработка механизма обработки
 обращений, мониторинга и анализа результатов рассмотрения обращений граждан
 Российской Федерации, иностранных граждан, лиц без гражданства, объединений
 граждан, в ом числе юридических лиц, направленных в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 включая:
 ·
 Разработку специального программного обеспечения (далее –
 СПО);
 ·
 Проведение тематических исследований разработанного СПО;
 ·
 Опытную эксплуатацию разработанного СПО; 
 ·
 Модернизацию СПО; 
 ·
 Проведение тематических исследований модернизированного
 СПО; 
 ·
 Внедрение СПО; 
 Формирование технологической базы
 ресурсов инфраструктуры Единой сети обращений граждан (далее – ЕС ОГ),
 обеспечивающей обработку обращений граждан и организаций и сбор информации о
 результатах рассмотрения обращений граждан и организаций, включая: 
 ·
 Закупку серверного и коммуникационного оборудования;
 ·
 Проведение специальных проверок и специальных
 исследований; 
 ·
 Ввод в эксплуатацию.
 Поэтапное подключение государственных
 органов, органов местного самоуправления, государственных и муниципальных
 учреждений, иных организаций, осуществляющих публично значимые функции
 (учреждения) к инфраструктуре ЕС ОГ:
 ·
 Первый этап (15 тыс. единиц)
 ·
 Второй этап (25 тыс. единиц)</t>
  </si>
  <si>
    <t>Обеспечено выполнение функций проектного офиса по реализации национальной программы "Цифровая экономика Российской Федерации", установленных актом Правительства Российской Федерации.</t>
  </si>
  <si>
    <t>Обеспечено организационно-методическое сопровождение разработки и реализации национальной программы; мониторинг выполнения федеральных проектов, программ и проектов цифрового развития субъектов Российской Федерации; информационно-аналитическое сопровождение деятельности президиума Комиссии; информационно-коммуникационная поддержка и продвижение реализации национальной программы в средствах массовой информации</t>
  </si>
  <si>
    <t>Обеспечено информационно-аналитическое и экспертно-аналитическое сопровождение в сфере контрольной и надзорной деятельности</t>
  </si>
  <si>
    <t>Реализована система мониторинга, отчетности и методологического сопровождения внедрения изменений по цифровой трансформации реализации контрольно-надзорных функций, в целях оптимизации и повышения эффективности государственного управления.</t>
  </si>
  <si>
    <t>Создана и функционирует цифровая аналитическая платформа для представления статистических данных</t>
  </si>
  <si>
    <t>1. Росстатом совместно с Минэкономразвития, заинтересованными федеральными органами исполнительной власти разработана, введена в опытную, а затем в промышленную эксплуатацию единая цифровая аналитическая платформа предоставления статистических данных, отчетности в государственные органы, которая обеспечивает для всех категорий пользователей:- однократность предоставления данных, в том числе статистических, во все органы государственной власти всех уровней и местного самоуправления, в том числе в онлайн-режиме; - возможность формирования и использования аналитических показателей для целей государственного управления (включая вопросы формирования традиционных статистических показателей) с использованием доступной базы первичных статистических данных в соответствии с меняющимися информационными потребностями; - предоставление всех данных (респондентами и по запросам пользователей) исключительно в электронной форме в машиночитаемом виде; - одновременное использование данных различной природы (данных статистических переписей и обследований, отчетности в государственные органы и альтернативных источников информации, в том числе, открытых источников), что позволит оперативно управлять процессами хозуправления с учетом всей полноты информации; - интеграцию бухгалтерской, статистической и налоговой отчетности экономических агентов. 2. Цифровая аналитическая платформа предоставления статистических данных, государственной и ведомственной отчетности обеспечивает через единое окно возможность загрузки респондентами различных видов отчетности , интегрирована с платформами и информационными системами органов исполнительной власти и местного самоуправления. 3. Цифровая аналитическая платформа предоставления статистических данных интегрирована с системами, обеспечивающими работу платформы с альтернативными источниками информации, и обеспечивает обмен данных с ними в режиме реального времени</t>
  </si>
  <si>
    <t>Обеспечено создание, развитие и функционирование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 в составе Платформы исполнения государственных функций</t>
  </si>
  <si>
    <t>Обеспечено создание, развитие и функционирование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 в составе Платформы исполнения государственных функций.Обеспечен сбор данных промышленного интернета вещей, их анализ и использование на основе Единой государственной платформы промышленного интернета вещей с применением поднадзорными субъектами приборов автоматического измерения показателей объектов и систем внутреннего контроля</t>
  </si>
  <si>
    <t>Обеспечена координация реализации мероприятий в рамках цифровой трансформации на всех уровнях власти</t>
  </si>
  <si>
    <t>1. Обеспечено повышение качества
 проектирования и создания отраслевых информационных систем, новых
 информационных технологий и платформ за счет сформированных методологических
 основ планирования расходов на ИКТ. 
 2. Автоматизированы процессы
 координации информатизации, в том числе обеспечено оперативное отслеживание
 работоспособности ИС государственных органов.
 3. Обеспечено сокращение затрат на создание ИС
 государственных органов за счет тиражирования имеющихся решений, а также
 проведения на постоянной основе отраслевой экспертизы в рамках координации
 информатизации, в том числе на региональном уровне</t>
  </si>
  <si>
    <t>Внедрены цифровые технологии в сферах государственного управления и оказания приоритетных массовых социально значимых государственных (муниципальных) услуг</t>
  </si>
  <si>
    <t>Обеспечено функционирование проектного
 офиса методологической поддержки внедрения новых принципов предоставления
 государственных и муниципальных услуг
 Обеспечена экспертная и методическая
 поддержка развития сети МФЦ
 Создание единой национальной системы
 разработки и принятия регуляторных решений в Российской Федерации, охватывающей
 все субъекты права законодательной инициативы
 Внедрен единый механизм (единая
 платформа) оценки качества массовых государственных и муниципальных услуг,
 функций и сервисов, подачи и обработки поступивших отзывов и предложений в
 адрес органов государственной власти и органов местного самоуправления.
 Определён порядок разработки и
 применения технологических систем, а также порядок типизации региональных и
 муниципальных услуг.
 Методическое обеспечение реализации
 проекта по созданию сети МФЦ, организации деятельности МФЦ на территории
 Российской Федерации.
 Гармонизация процессов предоставления
 услуг в электронной форме и на базе МФЦ, обеспечение информационного
 взаимодействия при предоставлении услуг.
 Мониторинг
 реализации проекта по созданию сети МФЦ на территории Российской Федерации.
 Разработка
 типовых документов и методического обеспечения организации предоставления
 государственных и муниципальных услуг по принципу «одного окна» в
 многофункциональных центрах. Унификация деятельности МФЦ в Российской
 Федерации. Разработка типовых стандартов и реестров региональных и
 муниципальных услуг, предоставляемых через МФЦ.
 Техническая
 поддержка и информационная поддержка созданной автоматизированной
 информационной системы мониторинга развития сети МФЦ.
 Методическое
 обеспечение реализации проекта по созданию центров оказания услуг для бизнеса
 на базе МФЦ и организаций, привлекаемых к реализации функций МФЦ, организации
 деятельности центров оказания услуг для бизнеса на территории Российской
 Федерации.</t>
  </si>
  <si>
    <t>Разработаны планы цифровой трансформации отраслей экономики и секторов социальной сферы через акселерацию цифровых платформ</t>
  </si>
  <si>
    <t>1. Реализовано не менее 2 отраслевых
 (индустриальных) цифровых платформ для основных предметных областей экономики; 
 2. Разработано не менее 8 планов
 цифровой трансформации для отраслей/рынков/сфер деятельности, включающих
 определение условий для цифровой трансформации приоритетных
 отраслей/рынков/сфер деятельности на основе платформенных решений (с т.з.
 необходимого нормативного регулирования, технологий, инфраструктуры, кадрового
 обеспечения, организационных условий) и осуществлен мониторинг и управление
 изменениями в области цифровой трансформации отраслей / рынков / сфер
 деятельности через акселерацию цифровых платформ и технологий, нормативного
 регулирования в цифровой экономике с использованием данных цифровой
 аналитической платформы.
 Разработка планов цифровой
 трансформации для 3 отраслей/рынков/сфер деятельности, мониторинг и управление
 изменениями в области цифровой трансформации отраслей/рынков/сфер деятельности
 через акселерацию цифровых платформ.
 Разработка планов цифровой
 трансформации для 4 отраслей/рынков/сфер деятельности, мониторинг и управление
 изменениями в области цифровой трансформации отраслей/рынков/сфер деятельности
 через акселерацию цифровых платформ.</t>
  </si>
  <si>
    <t>Обеспечены законодательные, правовые и методические основы управления жизненным циклом объектов капитального строительства с использованием технологий информационного моделирования и внедрения платформы «Цифровое строительство» (с учётом утверждённого плана мероприятий)</t>
  </si>
  <si>
    <t>Созданы организационные и нормативные
 основы управления жизненным циклом объектов капитального строительства на
 основе технологий информационного моделирования. 
 Характеристика результата,
 2019 год: выполнены прикладные научные исследования (НИР) в объеме 16
 единиц: Сформированы методические и
 организационно-технические основы управления жизненным циклом объектов
 капитального строительства с использованием технологий информационного
 моделирования; Сформирована структура и разработаны базовые таблицы классификатора строительной информацииРазработана концепция и утвержден план мероприятий
 перехода к системе управления жизненным циклом объектов капитального
 строительства на основе внедрения технологий информационного моделирования с
 этапами реализации и внедрения платформы "Цифровое строительство"</t>
  </si>
  <si>
    <t>Создана нормативно-техническая база управления жизненным циклом объектов капитального строительства с использованием технологий информационного моделирования и внедрения платформы "Цифровое строительство" (с учётом утверждённого плана мероприятий)</t>
  </si>
  <si>
    <t>Созданы организационные и нормативные
 основы управления жизненным циклом объектов капитального строительства на
 основе технологий информационного моделирования. 
 Характеристика результата, 2019 год: утверждены 9 стандартов и сводов правил определяющих
 базовые требования к применению технологий информационного моделирования с учетом передового мирового опыта внедрения
 технологий информационного моделирования на государственном уровне результатов прикладных научных исследований,
 выполненных в рамках результата «Обеспечены законодательные, правовые и
 методические основы управления жизненным циклом объектов капитального
 строительства с использованием технологий информационного моделирования и
 внедрения платформы «Цифровое строительство».</t>
  </si>
  <si>
    <t>Обеспечено создание, развитие и функционирование Платформы исполнения государственных функций, в том числе при осуществлении контрольной (надзорной) деятельности, включающей создание, развитие и функционирование единого реестра обязательных требований, типового облачного решения по автоматизации контрольной (надзорной) деятельности, в целях обеспечения управления деятельностью сотрудников государственных органов</t>
  </si>
  <si>
    <t>1. Исключено
 использование обязательных требований к проверяемым субъектам, не включенных в
 Единый реестр обязательных требований.
 2. Обеспечено
 актуализация, исключение избыточных, дублирующих и устаревших требований в
 проверочных листах. 
 3. Определен
 перечень массовых и социально значимых видов контроля (надзора).</t>
  </si>
  <si>
    <t>Создан сегмент базы нормативных правовых актов (федеральных, региональных и муниципальных) Российской Федерации, используемых в контрольно-надзорной деятельности, доступной в СМЭВ в режиме реального времени</t>
  </si>
  <si>
    <t>Обеспечено взаимодействие ЕСМЭВ и
 сегмента базы НПА (федеральных, региональных и муниципальных) Российской
 Федерации, используемых в контрольно-надзорной деятельности (создан
 информационно-телекоммуникационный сервис).
 Обеспечено представление нормативных правовых актов
 (и/или их отдельных элементов) в формате xml-ответов на поступившие через ЕСМЭВ
 xml-ответы</t>
  </si>
  <si>
    <t>Усовершенствованы механизмы государственного управления и обеспечено высокое качество предоставления государственных и муниципальных услуг (реализации функций), иных услуг (сервисов) и сведений в электронном виде в сфере пожарной безопасности и безопасности людей на водных объектах</t>
  </si>
  <si>
    <t>Цифровизация процессов предоставления государственных услуг в сфере обеспечения пожарной безопасности и безопасности людей на водных объектах физическим лицам, субъектам малого и среднего предпринимательства, индивидуальным предпринимателям, а также мониторинга пожарной безопасности объектов защиты:усовершенствованы механизмы государственного управления;обеспечение высокого качества предоставления государственных и муниципальных услуг (реализации функций), иных услуг (сервисов) и сведений в электронном виде в сфере пожарной безопасности и безопасности людей на водных объектах</t>
  </si>
  <si>
    <t>Обеспечено функционирование Центра компетенций по реализации задач федерального проекта «Цифровое государственное управление»</t>
  </si>
  <si>
    <t>Обеспечена экспертная и методологическая поддержка реализации мероприятий федерального проекта "Цифровое государственное управление"</t>
  </si>
  <si>
    <t>Создана и функционирует инфраструктура единой площадки для организации и проведения мероприятий национальной программы "Цифровая экономика Российской Федерации"</t>
  </si>
  <si>
    <t>Создание
 инфраструктуры единой площадки, приобретение оборудования и
 материально-технических средств в 2019 г. В период 2020-2021 г. г. ежегодное
 проведение 10-15 мероприятий в рамках целей национальной программы «Цифровая
 экономика» с количеством участников 100-150 человек с привлечением специалистов
 федеральных, региональных и муниципальных органов власти, а также предприятий и
 организаций.</t>
  </si>
  <si>
    <t>Утверждены и актуализированы концепция и план проведения бизнес-миссий для успешного продвижения отечественных цифровых технологий и программного обеспечения, в том числе на основе «сквозных» цифровых технологий, за рубеж»</t>
  </si>
  <si>
    <t>1. актуализация механизмов проведения
 бизнес-миссий для успешного продвижения отечественных цифровых технологий и
 программного обеспечения, в том числе на основе «сквозных» цифровых технологий,
 за рубеж;
 2. обеспечена экспертная поддержка
 проведения бизнес-миссий для успешного продвижения отечественных цифровых
 технологий и программного обеспечения, в том числе на основе «сквозных»
 цифровых технологий, за рубеж;
 3. опубликованы направляющие документы
 для проведения бизнес-миссий для успешного продвижения отечественных цифровых
 технологий и программного обеспечения, в том числе на основе «сквозных»
 цифровых технологий, за рубеж</t>
  </si>
  <si>
    <t>Разработаны и утверждены требования к целевому состоянию цифровой трансформации приоритетных массовых социально значимых государственных и муниципальных услуг в соответствии с утвержденным перечнем услуг.</t>
  </si>
  <si>
    <t>Определены
 требования к оказанию приоритетных массовых социально значимых государственных
 и муниципальных услуг после проведения мероприятий по внедрение цифровых
 технологий и платформенных решений в процессы их оказания, в том числе
 определены принципы: 
 -
 реестровая модель предоставления; 
 -
 проактивность; 
 -
 экстерриториальность; 
 -
 многоканальность; 
 -
 исключение участия человека в процессе принятия решения при предоставлении
 приоритетных государственных услуг; 
 - единая
 система сбора обратной связи от получателей услуг; 
 - иные направления совершенствования
 предоставления государственных услуг</t>
  </si>
  <si>
    <t>index</t>
  </si>
  <si>
    <t>Не привязаны</t>
  </si>
  <si>
    <t>Создана автоматизированная система взаимодействия с гражданами в социальной сфере. Обеспечено функционирование указанной системы.</t>
  </si>
  <si>
    <t>Минтрудом России введена опытную, а затем в промышленную
 эксплуатацию автоматизированная система взаимодействия с гражданами в
 социальной сфере, которая предназначена для изменения формата взаимодействия
 государства с гражданином, целевым показателем данной деятельности будет
 максимальный охват действительно нуждающихся в помощи граждан фактическим ее
 предоставлением.
 Основные результаты:
 1. Объединение доступа к существующим информационным
 ресурсам, имеющимся у Минтруда России, ПФР, ФСС, учреждений МСЭ в рамкахвзаимодействия с гражданами. 2. Мобильное приложение для осуществления
 взаимодействия с гражданами. 3 Реализация возможности осуществления направления
 вопроса для граждан с любым из подразделений ПФР, ФСС, Роструда, учреждений МСЭ
 на основании обращения через информационную систему (при этом гражданину не
 нужно иметь информацию в чьей компетенции находится решение вопроса). 4.
 Автоматизированная обработка поступающих вопросов от граждан. 5. Уведомление
 гражданина о состоянии решения его вопроса, а также подтверждения его решения.
 6. Реализация возможности взаимодействия с гражданам с ограниченными
 физическими возможностями. 7. Уведомление граждан о возникших правах на
 получение мер социальной помощи при наступлении определенной жизненной
 ситуации. 8. Обеспечение централизованного мониторинга и контроля обработки
 поступаюищх вопросов. 9. Обеспечения единого учета детализированной информации
 о поступающих запросах граждан (состояние обращения, плановый, фактической срок
 исполнения, должностное лицо, его обрабатывающее и т.д.). 10. Предварительная
 проверка документов, прилагаемых гражданами к заявлениям для получения мер
 социальнойподдержки, соц.услуг органами Пенсионного фонда. Фонда социального
 страхования, учреждениями медико-социальной экспертизы 11. Реализация механизма
 передачи информации в ЕПГУ о запросах гражданина в органы социальной поддержки,
 статусах этих запросов и принятых мерах по запросам 12. Обеспечение возможности
 совместной обработки обращений в государственными органами и организациями. 13.
 Обеспечение возможности проведения голосований и опросов по вопросам
 совершенствования механизмов и способов взаимодействия гражданина и государства
 по вопросам социальной помощи. 14.Обеспечение взаимодействия по отдельным видам получаемых мер социальной
 поддержки, социальных услуг для граждан в любом подразделении государственного
 внебюджетного фонда или учреждения медико-социальной экспертизы. 15.
 Функционирование единой системы записи для посещения подразделений ПФР, ФСС,
 учреждений МСЭ, включая уведомления и напоминания о записи. 16. Уведомление
 гражданина о необходимости проведения очередной медико-социальной экспертизы с
 дальнейшей возможностью осуществить запись на ее проведение.</t>
  </si>
  <si>
    <t>Внедрена цифровая технология и платформенные решения в сфере социального обеспечения</t>
  </si>
  <si>
    <t>​1. Разработка описания текущего ландшафта ИТ инфраструктуры2. Разработка целевой ИТ архитектуры (функциональной архитектуры, информационной архитектуры, архитектуры информационных систем и ИТ инфраструктуры) Минтруда России и подведомственных ему организаций и ее описания . Разработка плана мероприятий по переходу к целевой ИТ архитектуре3. Разработка перечня условий и мероприятий по обеспечению процесса перехода к целевой ИТ архитектуре:- Отсутствие необходимости предоставления непосредственно гражданином документов для получения положенных ему государственных услуг, информация о праве на получение которых получена гражданином исходя из возникшей ситуации (получение только согласия гражданина);- Сокращения сроков предоставления государственных услуг (мер социальной поддержки);- Снижение трудоемкости выполняемых функций и реализуемых полномочий ведомствами за счет реинжиниринга и автоматизации процессов ведомств.- Обеспечение единого качества технической поддержки деятельности Минтруда России, Роструда России, ПФР, ФСС России, учреждений медико-социальной экспертизы и уровня внедрения, применения информационных технологий.- Объединения отдельных информационных систем и сервисов, использования единых информационных систем.- Создание развитых цифровых сервисов для граждан и объединения каналов взаимодействия с ними- Исключения дублирования данных.- Использования элементов единой технической инфраструктуры.- Оптимизация хранения и использования массивов информации.- Оптимизация информационного взаимодействия в рамках сквозных процессов между государственными органами и организациями.</t>
  </si>
  <si>
    <t>Организованы сервисы на цифровой платформе для процесса осуществления внешнего государственного аудита (контроля). Обеспечено их функционирование.</t>
  </si>
  <si>
    <t>Осуществлена поставка, установка и настройка базовой цифровой платформы Счетной палаты Российской Федерации с применением современных аналитических инструментов, основанных на риск-ориентированном подходе и предиктивной аналитике автоматизированного поиска нарушений на основе данных, содержащихся в государственных информационных системах органов государственной власти Российской Федерации</t>
  </si>
  <si>
    <t>Разработана информационная система с целью обеспечения возможности получения гражданами и бизнесом комплексных государственных услуг в сфере сельского хозяйства, сгруппированных по основным жизненным ситуациям в сфере господдержки. Обеспечено функционирование указанной системы.</t>
  </si>
  <si>
    <t>1. Минсельхозом России совместно с заинтересованными федеральными и региональными органами исполнительной власти разработана, введена в опытную, а затем в промышленную эксплуатацию информационная система цифровых сервисов агропромышленного комплекса, которая обеспечивает для всех категорий пользователей:−перевод в электронный вид, ускорение процессов получения и повышение результативности мер государственной поддержки в сфере сельского хозяйства, −сокращение затрат сельхозтоваропроизводителей на предоставление отчетности, перевод отчетности в электронный вид;−повышение объемов и доходов от реализации товаров на внутреннем рынке, а также при экспорте товаров за счет взаимодействия на базе единой электронной торговой площадки.2. Информационная система тиражирована и используется в большинстве субъектов РФ.Не менее 75% субсидий сельхозтоваропроизводителям производится посредством суперсервиса.Не менее 50% оформления и предоставления льготных кредитов для сельхозтоваропроизводителей производится в электронном виде.Сдача отчетности в органы государственной власти осуществляется в электронном виде. Для создания новых и изменения существующих форм отчетности доступен универсальный конструктор форм.Создана электронная торговая площадка субъектов АПК (в т.ч. нерезидентов) с поддержкой взаиморасчетов между участниками, учетом и моделированием логистических потоков.Создана нормативная база для функционирования суперсервиса.</t>
  </si>
  <si>
    <t>Создана цифровая платформа «Образование в РФ для иностранцев». Обеспечено функционирование указанной платформы.</t>
  </si>
  <si>
    <t>1. Абитуриенты
 всех стран участников (более 100) подали документы в электронном виде и
 осуществили онлайн-мониторинг конкурсной ситуации. 
 2. Не менее 1,0
 млн потенциальных пользователей с увеличением до 3 млн к 2024 году: иностранные
 школьники, абитуриенты, их родители, выпускники, сотрудники ФОИВ и РОИВ,
 коммерческие и некоммерческие организации. 
 3. Увеличение
 процента успешности поступления в вуз РФ, с сегодняшних 65-75% до 99%, что
 означает - количество недовольных специальностью, вузом, регионом обучения и
 комфортом пребывания снизится до ничтожного уровня. 
 4. 100%
 российских вузов, участвующих в приеме иностранных абитуриентов, принимают
 удаленное онлайн участие в приемной кампании на всех этапах. 
 5. Не менее 20%
 иностранных студентов будут обеспечены возможностью трудоустройства в
 российских компаниях после завершения обучения в РФ. 
 6. 100% администраций субъектов РФ будет подключено
 к суперсервису для предоставления информации о региональных образовательных,
 экономических и социальных возможностей для иностранных абитуриентов.</t>
  </si>
  <si>
    <t>Обеспечено развитие АИС ФССП России в части ведения банка данных исполнительных документов на базе ГИС ГМП, их регистрация посредством СМЭВ судами и иными органами, автоматическое предоставление сведений из банка данных работодателям и банкам, реализованы сервис ЕПГУ для осуществления операций с реестром исполнительных документов, а так же оптимизации формы государственной услуги ФССП России на ЕПГУ для пилотных регионов, обеспечена возможность подачи ходатайств и получения извещений посредством ЕПГУ, посредством крупных взыскателей</t>
  </si>
  <si>
    <t>1) Снятие ограничения выезда из РФ (наложенного по исполнительному документу о взыскании денежных средств) осуществляется автоматически в течение 1 часа после оплаты. Обеспечена возможность отслеживать стадии процесса снятия ограничения выезда на ЕПГУ2) Расширен (в пилотной зоне) состав и сокращен до 30 сек. срок предоставления сведений о ходе исполнительного производства. Взыскатель-юридическое лицо может получить список исполнительных производств по своему ИНН, в том числе с указанием ИНН должника-юридического лица3) Обеспечена возможность подачи гражданами заявлений, ходатайств посредством ЕПГУ4) Обеспечена возможность уведомления (извещения) граждан посредством ЕПГУ (без наличия согласия и без ожидания входа гражданина в личный кабинет), через банки, операторов сотовой связи. Информация о наличии задолженности передается в цифровой профиль стороны исполнительного производства5) Обеспечена возможность оперативного получения СНИЛС и реквизитов актуального паспорта РФ стороны исполнительного производства по иным сведениям о нем, указанным в исполнительном документе6) Ответы МВД России на запросы на получение адреса регистрации по месту пребывания/ жительства и на предоставление сведений о наличии/ отсутствии судимости, ответы Росреестра из ЕГРН, ответы иных ведомств предоставляются в срок не более 2 дней и без ограничения по количеству. В запросах можно указать уточняющую информацию (регион проживания, реквизиты паспорта, заграничного паспорта, устаревшего паспорта)7) Документооборот исполнительных документов между ФССП России и администраторами доходов бюджета исключен. ФССП России осуществляет принудительное исполнение на основании сведений о неуплате штрафа, налога, сбора в установленный срок, поступающих из ГИС ГМП8) Направление исполнительных документов в ФССП России, выданных нотариусом, возможно в электронном виде9) В пилотной зоне обеспечена подача ФССП России в суды заявлений, ходатайств в ходе исполнительного производства, получение ФССП России из судов судебных актов по результатам рассмотрения заявлений, ходатайств в ходе исполнительного производства, полученных от ФССП России и от участников исполнительного производства в электронном виде. Сняты ограничения для вынесения нескольких исполнительных документов в форме электронного документа, в случае если решение содержит разнородные требования10) Для юридических лиц, предпринимателей являющихся сторонами исполнительного производства, работодателями обеспечена возможность организации ЭДО с ФССП России посредством СМЭВ в части получения постановлений, получения информации о ходе и наличии ИП, подачи заявлений и ходатайств. Документооборот со всеми кредитными организациями осуществляется посредством СМЭВ полностью в электронном виде11) Нет невыясненных платежей за счет обязательности указания УИН в платежном документе. Снятие ограничений (кроме снятия ограничения выезда из РФ в п.1) и окончание исполнительного производства осуществляется в течение 2 дней после оплаты, реквизиты счета взыскателя можно проверить на сайте ФССП России и ЕПГУ12) Внедрен упрощенный порядок исполнения для административных штрафов (до возбуждения в течение 2 мес. исполнение штрафа в ФССП России осуществляется путем списания средств со счетов должника)</t>
  </si>
  <si>
    <t>Создание единого информационного ресурса регистрационного и миграционного учета. Обеспечено функционирование ресурса.</t>
  </si>
  <si>
    <t>Использование специализированного ресурса позволит ускорить обмен информацией о деталях осуществления компьютерных атак и мошеннической деятельности с использованием ИКТ между заинтересованными участниками взаимодействия</t>
  </si>
  <si>
    <t>Мероприятия, привязанные по финансированию</t>
  </si>
  <si>
    <t>Мероприятия, привязанные по семантике</t>
  </si>
  <si>
    <t>Непривязанные мероприятия</t>
  </si>
  <si>
    <t>Процент мероприятий, привязанных по финансированию</t>
  </si>
  <si>
    <t>Процент мероприятий, привязанных по семантике</t>
  </si>
  <si>
    <t>Процент непривязанных мероприятий</t>
  </si>
  <si>
    <t>Обеспечена разработка, внедрение и эксплуатация облачной цифровой платформы обеспечения оказания государственных (муниципальных) услуг и сервисов, в том числе в электронном виде</t>
  </si>
  <si>
    <t>1. Запущена платформа государственных
 услуг для всех регионов
 2. Реализованы все типовые услуги,
 определенные Министерством экономического развития
 3. Обеспечена мультиканальность
 представления услуг (онлайн/офлайн)
 4. Реализованы API для подключения
 региональных ИС 
 5. Существенно сокращены сроки перевода
 услуг в цифровой вид и сроки их оказания, создана обучающая платформа
 6. Реализована возможность оказания услуг без
 участия</t>
  </si>
  <si>
    <t>Обеспечена доработка и эксплуатация Федерального реестра государственных и муниципальных услуг(функций), в том числе облачного решения для субъектов Российской Федерации</t>
  </si>
  <si>
    <t>Соответствует результату / мероприятию федерального проекта (+ доп. мероприятия из Плана мероприятий) или основному мероприятию государственной программы, не являющемуся федеральным проектом</t>
  </si>
  <si>
    <t>Цитата из соответствующей графы "Характеристика результата" ФП или графы "Непосредственный ожидаемый результат" ГП</t>
  </si>
  <si>
    <t>Номер национального проекта</t>
  </si>
  <si>
    <t>Номер федерального проекта</t>
  </si>
  <si>
    <t>Создание, внедрение, развитие и эксплуатация цифровой платформы АИС Ростехнадзора</t>
  </si>
  <si>
    <t>Федеральной службой по экологическому, технологическому и атомному надзору создана, внедрена цифровая платформа АИС Ростехнадзора, которая обеспечивает:1. Сокращение количества очных обращений заявителей для получения услуг Ростехнадзора;2. Сокращение времени обработки обращений заявителей и предоставления услуги; снижение количества отказов в получении услуг Ростехнадзора;3. Переход к реестровой модели ведения результатов оказания услуг; 4. Взаимодействие с органами власти в обмене сведений;5. Переход к предоставлению результата оказания услуги в форме электронного документа.</t>
  </si>
  <si>
    <t>Номер результата федерального проекта</t>
  </si>
  <si>
    <t>Номер государственной программы</t>
  </si>
  <si>
    <t>Номер подпрограммы</t>
  </si>
  <si>
    <t xml:space="preserve">Код основного мероприятия в государственной программе / подпрограмме </t>
  </si>
  <si>
    <t>Действия для достижения национальной цели, закрепленные в ОНДП и Едином плане</t>
  </si>
  <si>
    <t>Логика (комментарий) отождествления мероприятия с ключевыми действиями</t>
  </si>
  <si>
    <t>Отметка наличии (1) / отсутствии (0) мероприятия в ФП / ГП, в соответствии с ОНДП или Единым планом являющихся инструментами достижения НЦ</t>
  </si>
  <si>
    <t>Отметка наличии влияния (как по минимальному, так и по оптимальному плану) на национальную цель "Доходы" с позиции Счетной палаты</t>
  </si>
  <si>
    <t>Обеспечены доработка, сопровождение и эксплуатация Федерального телефонного центра сбора мнений граждан о качестве государственных услуг (ФТЦ)</t>
  </si>
  <si>
    <t>Обеспечены
 модернизация Федерального телефонного центра сбора мнений граждан о качестве
 государственных услуг (ФТЦ) в соответствии с доработками ИАС «Мониторинг
 качества государственных услуг», обеспечена возможность СМС-опроса граждан,
 обращавшихся за получением государственных и муниципальных услуг</t>
  </si>
  <si>
    <t>Отметка наличии влияния (как по минимальному, так и по оптимальному плану) на национальную цель "Бедность" с позиции Счетной палаты</t>
  </si>
  <si>
    <t>Доказательное описание механизма функционирования государственной меры, влияющей на достижение НЦ (возможна отсылка к другим источникам: статьи, результаты проверок). Один механизм может соответствовать нескольким мероприятиям.</t>
  </si>
  <si>
    <t>Дата начала мероприятия в формате ДД/ММ/ГГ</t>
  </si>
  <si>
    <t>Дата завершения мероприятия в формате ДД/ММ/ГГ</t>
  </si>
  <si>
    <t>Финансирование за весь срок реализации мероприятия по данным паспорта ФП</t>
  </si>
  <si>
    <t>Финансирование мероприятия за 2019-2022 гг по данным паспорта ФП</t>
  </si>
  <si>
    <t>Финансирование мероприятия за 2019-2022 гг по данным паспорта электронного бюджета</t>
  </si>
  <si>
    <t>Мероприятия индикаторы - содержащие показатели, которые имеют количественный характер, подлежат численному (количественному) измерению и являются одним из конечных целевых результатов, влияющих на достижение национальных целей, мероприятия инструменты - имеющие преимущественно дескриптивный (неколичественный) характер, не являющиеся конечным целевым результатом, но подразумевающие действия (формирование предложений, исполнение мер и мероприятий, утверждение НПА), направленные на обеспечение достижения мероприятий-индикаторов или достижение национальных целей.</t>
  </si>
  <si>
    <t>Структурные подразделения центрального аппарата Росгвардии, территориальные органы Росгвардии, органы управления (объединения, соединения, воинские части, организации и подразделения) войск национальной гвардии обеспечены отечественным офисным программным обеспечением и программным обеспечением в сфере информационной безопасности и оказывается техническая поддержка в рамках применения поставленных программных продуктов</t>
  </si>
  <si>
    <t>2.1.Результата достигается в рамках
 выполнения распоряжения Правительства Российской Федерации от 26.07.2016 г. №
 1588-р 
 «Об утверждении плана перехода федеральных органов власти 
 и государственных внебюджетных фондов на использование отечественного офисного
 программного обеспечения», Методических рекомендаций 
 по переходу федеральных органов исполнительной власти и государственных
 внебюджетных фондов на использование отечественного офисного программного обеспечения,
 утвержденных приказом Минкомсвязи России 
 от 25.09.2017 г. № 495, распоряжения Росгвардии от
 15.01.2018 г. № 1/16-р 
 «О переходе войск национальной гвардии на использование отечественного офисного
 программного обеспечения»;
 2.2.В рамках данного результата Росгвардии
 необходимо до 31.12.2021г. перевести 70%
 автоматизированных рабочих мест должностных лиц 
 на отечественное офисное программное обеспечение.
 2.3. Мероприятие 05.03.001.011.005 паспорта федерального проекта
 национальной программы «Цифровая экономика Российской Федерации».</t>
  </si>
  <si>
    <t>Создана система контроля оборота огнестрельного оружия и управления охранными услугами на базе отечественных технологий для обработки больших массивов данных</t>
  </si>
  <si>
    <t>1.1. В рамках данного
 результата Росгвардии необходимо до
 31.12.2021г. создать две
 информационные системы: 
 федеральная платформа
 по контролю за оборотом оружия;
 управления охранной
 деятельностью.
 1.2. В части системы по
 контролю за оборотом оружия:
 результат
 направлен на выполнение поручений Президента Российской Федерации от 5 декабря
 2018 г. № Пр-2279 и от 28 декабря 2018 г. № Пр-2529 «О первоочередных мерах по
 усилению контроля за оборотом оружия».
 Целевая
 модель – внедрение апробированных на пилотном участке решений по созданию
 федеральной платформы по контролю за оборотом оружия во всех субъектах
 Российской Федерации до 2024 года.
 1.3. В части системы
 управления охранной деятельностью:
 результат направлен
 на выполнение задач, возложенных на войска национальной гвардии Федеральным
 законом от 29.06.2016 г. № 226-ФЗ 
 «О войсках национальной гвардии Российской Федерации», Указом Президента
 Российской Федерации от 30.09.2016 г. № 510 «О Федеральной службе войск
 национальной гвардии Российской Федерации».
 1.4. Мероприятия
 05.02.002.003.003, 05.02.002.003.004, 05.02.002.003.005 паспорта федерального
 проекта национальной программы «Цифровая экономика Российской Федерации».</t>
  </si>
  <si>
    <t>Разработана методологическая основа единой технологической архитектуры информационных систем государственных органов исполнительной власти</t>
  </si>
  <si>
    <t>В рамках данного результата ФГБУ НИИ ВОСХОД будут реализованы следующие виды работ:2019 год1. Разработка предложений по единой технологической архитектуре информационных систем органов исполнительной власти2. Разработка предложений по единой информационной архитектуре ИС ОИВ3. Разработка предложений по архитектуре единой среды разработки4. Разработка предложений по моделированию архитектуры ИС ОИВ5. Экспертиза ИТ-архитектуры проектов новых информационных систем и суперсервисов6. Разработка методического обеспечения создания единой технологической архитектуры информационных систем органов исполнительной власти7. Разработка правового обеспечения создания ИТ-архитектуры ИС ОИВ8. Апробация разработанных подходов в федеральном органе исполнительной власти.</t>
  </si>
  <si>
    <t>Доработаны информационные системы Рособрнадзора и их подсистемы в целях достижения целевого состояния Суперсервиса «Поступление в вуз онлайн»</t>
  </si>
  <si>
    <t>Обеспечено развитие системы межведомственного электронного взаимодействия на территориях субъектов Российской Федерации</t>
  </si>
  <si>
    <t>В рамках результата предположено выделение субсидий бюджетам субъектов Российской Федерации для перехода со СМЭВ версии 2.Х на СМЭВ версии 3,Х</t>
  </si>
  <si>
    <t>Разработка и внедрение национального механизма осуществления согласованной 
  политики государств - членов Евразийского экономического союза при реализации планов в области развития цифровой экономики</t>
  </si>
  <si>
    <t>Разработан и утвержден комплекс национальных документов, направленных на реализацию Цифровой повестки ЕАЭС, в том числе утверждено Положение о координации, мониторинге отборе и продвижении проектов (инициатив), и создан механизм отбора и поддержки проектов (инициатив) по внедрению цифровых технологий и платформ на пространстве ЕАЭС</t>
  </si>
  <si>
    <t>1. создание благоприятной среды для
 развития инноваций; формирование новых индустрий и рынков; 
 2. актуализация механизмов
 интеграционного сотрудничества в рамках ЕАЭС; 
 3. формирование единого правового поля
 на пространстве ЕАЭС в целях реализации Цифровой повестки ЕАЭС; 
 4. обеспечена экспертная поддержка
 реализации Цифровой повестки ЕАЭС
 Разработка и утверждение Положения о
 координации, мониторинге, отборе и продвижении проектов (инициатив).
 Создание механизма отбора и поддержки
 проектов (инициатив) по внедрению цифровых технологий и платформ на
 пространстве ЕАЭС.
 Разработка и утверждение комплекса
 национальных документов, направленных на реализацию Цифровой повестки ЕАЭС при
 координации Евразийского коммуникационного центра с российской стороны.</t>
  </si>
  <si>
    <t>Обеспечено подключение федеральных органов исполнительной власти к Национальному сегменту Российской Федерации интегрированной информационной системы Евразийского экономического союза для юридически значимого запуска общих процессов ЕАЭС государств-членов Евразийского экономического союза</t>
  </si>
  <si>
    <t>1. Создана современная технологическая основа для функционирования трансграничного пространства доверия в рамках ЕАЭС; 2. Реализована возможность эффективного, своевременного и достоверного трансграничного обмена информацией между государственными органами на пространстве ЕАЭС; 3. Обеспечена возможность равноправного и недискриминационного сквозного обмена информацией при получении услуг в области телемедицины, дистанционного образования, дистанционного предоставления логистических и финансовых услуг, а также ведения торговли на внешних рынках в рамках ЕАЭС.</t>
  </si>
  <si>
    <t>Реализация национальных инфраструктурных и отраслевых проектов цифрового развития на пространстве ЕАЭС.</t>
  </si>
  <si>
    <t>Разработка типовых регламентов оценки и реализации цифровых инициатив в рамках ЕАЭС;Разработка методических рекомендаций по осуществлению оценки результативности
 цифровых инициатив и их эффективности;Формирование подходов по преобразованию институциональных и организационных
 механизмов взаимодействия Российской Федерации и ЕЭК в рамках реализации Цифровой
 повестки ЕАЭС;Создание правовых и организационно-техническихусловий для отбора и поддержки цифровых проектов на
 пространстве ЕАЭС.</t>
  </si>
  <si>
    <t>Внедрение на уровнях основного общего и среднего общего образования новых методов обучения и воспитания, образовательных технологий, обеспечивающих освоение обучающимися базовых навыков и умений, повышение их мотивации к обучению и вовлеченности в образовательный процесс, а также обновление содержания и совершенствование методов обучения предметной области "Технология"</t>
  </si>
  <si>
    <t>Сформирована
 система мероприятий по формированию новых условий реализации предметной области
 "Технология" и других предметных областей, в том числе:
 утвержден перечень субъектов Российской Федерации, реализующих мероприятия по
 освоению предметной области
 "Технология" и других предметных областей на базе организаций,
 имеющих высокооснащенные ученико-места,
 в том числе детских технопарков "Кванториум"; осуществлен отбор через
 профильную информационную систему результатов инвентаризации инфраструктурных,
 материально-технических и кадровых ресурсов организаций разного типа, в том
 числе образовательных, научных организаций, организаций культуры, спорта и реального
 сектора экономики, потенциально пригодных для реализации предметной области "Технология" и других предметных
 областей; сформированы методические рекомендации освоения предметной области "Технология" и других предметных
 областей на базе организаций, имеющих высокооснащенные
 ученико-места, в том числе детских технопарков "Кванториум"; обеспечено
 обновление содержания примерных общеобразовательных программ по предметной области "Технология";
 к концу 2019 года не менее чем в 10 субъектах Российской Федерации изучение предметной области "Технология"
 и других предметных областей осуществляется на базе высокотехнологичных
 организаций, в том числе детских технопарков "Кванториум", с
 привлечением обучающихся школ различного типа, в том числе школ, работающих в
 неблагоприятных социальных условиях.</t>
  </si>
  <si>
    <t>По итогам отбора предоставлены субсидии из федерального
 бюджета бюджетам субъектов Российской Федерации на финансовое обеспечение
 мероприятий по обновлению материально-технической базы, в том числе для
 реализации предметной области "Технология" и других предметных
 областей в организациях, осуществляющих образовательную деятельность
 исключительно по адаптированным
 общеобразовательным программам. Сформированы методические рекомендации по
 материально-техническому оснащению и обновлению содержания образования в
 организациях, осуществляющих образовательную деятельность исключительно по адаптированным общеобразовательным
 программам, с учетом необходимости обеспечения условий для обновления содержания и совершенствования
 методов обучения предметной области
 "Технология" и других предметных областей.
 Проведен мониторинг
 реализации мероприятий по обновлению материально-технической базы в
 организациях, осуществляющих образовательную деятельность исключительно по адаптированным общеобразовательным
 программам, в соответствии со сформированными методическими рекомендациями.
 Обеспечено обновление
 содержания образовательных программ, в том числе по предметной области
 "Технология" и другим
 предметным областям, методик преподавания и оценивания результатов
 освоения образовательных программ, дизайна инфраструктуры, перечня учебного
 оборудования и учебно-методических комплексов с учетом особых образовательных
 потребностей обучающихся в организациях, осуществляющих образовательную
 деятельность исключительно по адаптированным
 общеобразовательным программам.
 Проведен ежегодный
 мониторинг по оценке качества изменений в освоении обучающимися соответствующих
 образовательных программ в соответствии с характеристиками результатов.
 К концу 2019 года не менее чем в 236 организациях,
 осуществляющих образовательную деятельность исключительно по адаптированным общеобразовательным
 программам, обновлена материально-техническая база, созданы условия для
 реализации дистанционных программ обучения определенных категорий обучающихся.Значение количества организаций, осуществляющих образовательную деятельность исключительно поадаптированным общеобразовательным программам, в которых будет обновлена материально-техническая база, 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</si>
  <si>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По
 итогам отбора предоставлены субсидии из федерального бюджета бюджетам субъектов Российской
 Федерации на создание материально-технической базы9 для реализации
 основных и дополнительных общеобразовательных программ цифрового, технического, естественнонаучного и гуманитарного профилей в школах, расположенных в сельской
 местности и малых городах.
 Проведен
 отбор заявок и заключение
 соглашений с высшими исполнительными
 органами государственной власти субъектов Российской Федерации о
 предоставлении субсидии из федерального бюджета бюджетам субъектов Российской
 Федерации на финансовое обеспечение мероприятий по созданию материально-технической
 базы для реализации основных и дополнительных общеобразовательных программ
 цифрового и гуманитарного профилей, в том числе технического и естественнонаучного, в школах,
 расположенных в сельской местности и малых городах, в том числе школах,
 работающих в неблагоприятных социальных условиях.
 Обеспечено обновление
 содержания образовательных программ, методик преподавания и оценивания
 результатов освоения образовательных программ, дизайна инфраструктуры, перечня
 средств обучения и учебно-методических комплексов.
 Проведен ежегодный
 мониторинг по оценке качества изменений в освоении обучающимися соответствующих
 образовательных программ в соответствии с характеристиками результатов.
 К концу
 2024 года не менее чем в 16тыс. школ, расположенных в сельской местности
 и малых городах, не менее чем в 80 субъектах Российской Федерации создана
 материально-техническая база9 для реализации основных и
 дополнительных общеобразовательных программ цифрового, естественнонаучного,
 технического и гуманитарного профилей, с охватом не менее 800тыс. детей,
 в том числе в школах, работающих в неблагоприятных социальных условиях, в том числе:в 2019 году - в не менее, чем 2 тыс. школ с охватом не менее 100 тыс. детей;в 2020 году- в не менее, чем 5 тыс. школ с охватом не менее 250 тыс. детей;в 2021 году -в не менее, чем 8 тыс. школ с охватом не менее 400 тыс. детей;в 2022 году -в не менее, чем 11 тыс. школ с охватом не менее 550 тыс. детей;в 2023 году -в не менее, чем 13,5 тыс. школ с охватом не менее 700 тыс. детей.Значение количества организаций, в которыхсоздается материально-техническая база для реализации основных и дополнительных общеобразовательных программ цифрового и гуманитарного профилей, в том числе технического и естественнонаучного, в школах, расположенных в сельской местности и малых городах,подлежит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</si>
  <si>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К концу 2019 года
 разработана и утверждена методология (целевая модель) наставничества обучающихся для организаций, осуществляющих
 образовательную деятельность по общеобразовательным, дополнительным
 общеобразовательным и программам среднего профессионального образования.
 Целевая модель позволит сформировать организационно-методическую основу для
 внедрения и последующего развития механизмов наставничества обучающихся образовательных организаций, в том числе
 с применением лучших практик обмена опытом между обучающимися и привлечением
 представителей работодателей к этой деятельности.
 Сформированы рекомендации по обновлению содержания
 образовательных программ, методик преподавания и оценивания результатов
 освоения образовательных программ с учетом утвержденной методологии. Проведен
 ежегодный мониторинг по оценке качества изменений в освоении обучающимися
 образовательных программ в соответствии с характеристиками результатов.Результат является "перекрестным" с результатами федеральных проектов "Успех каждого ребенка" и "Молодые профессионалы (Повышение конкурентоспособностипрофессионального образования)".</t>
  </si>
  <si>
    <t>Реализованы
 мероприятия региональных программ, в том числе за счет софинансирования из федерального бюджета, по модернизации инфраструктуры общего
 образованияв сельской местности и поселках городского типа(строительство зданий (пристроек к зданию), приобретение (выкуп)
 зданий (пристроек к зданиям) общеобразовательных организаций),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Обеспечено повышение доступности современных условий образования в сельской
 местности и малых городах за счет ввода с целевым софинансированием из федерального бюджета к 2024 году не менее 11,5 тыс.
 новых мест в общеобразовательных организациях, расположенных в сельской
 местности и поселках городского типа.Кроме того,за счет реализации различных мероприятий по созданию новых мест в
 общеобразовательных организациях в рамках национального проекта "Образование" (в том числе мероприятия по модернизации инфраструктуры общего образования в
 отдельных субъектах Российской Федерации, в том числе в рамках обеспечения
 устойчивого развития сельских территорий и мероприятий по
 социально-экономическому развитию субъектов Российской Федерации, входящих в
 состав Северо-Кавказского федерального округа, мероприятия по созданию новых
 мест в общеобразовательных организациях, расположенных в сельской местности и
 поселках городского типа,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образования,создание новых мест в общеобразовательных
 организациях (продолжение реализации приоритетного проекта "Современная
 образовательная среда для школьников")) к 2024 году будет введено не менее24,5 тыс4. новых меств общеобразовательных организациях, расположенных в сельской местности и поселках городского типа, в том числе:в 2019 году - не менее 4,9 тыс. мест;в 2020 году - не менее 9,8 тыс. мест;в 2021 году - не менее 15,7 тыс. мест;в 2022 году - не менее 20,6 тыс. мест;в 2023-2024 годах - не менее 24,5 тыс. мест.</t>
  </si>
  <si>
    <t>Реализованы мероприятия, направленные на модернизацию инфраструктуры
 общего образования в отдельных субъектах Российской Федерации,в том числе в рамках
 реализации поручений Президента Российской Федерации и Правительства Российской
 Федерации, обращений высших должностных лиц субъектов Российской Федерации,путем предоставления
 субсидий из федерального бюджета бюджетам субъектов Российской Федерации, что
 позволит до конца 2023 года ввести новых 16 032 мест.</t>
  </si>
  <si>
    <t>Реализованы
 мероприятия, направленные на создание новых мест в общеобразовательных
 организациях, расположенных в сельской местности, государственных программ
 субъектов Российской Федерации (подпрограмм государственных программ субъектов
 Российской Федерации, региональных проектов), путем предоставления субсидий из
 федерального бюджета бюджетам субъектов Российской Федерации, что позволит до конца
 2022 года построить общеобразовательные организации в сельской местности с мощностью не менее 320 мест в общеобразовательных организациях.</t>
  </si>
  <si>
    <t>​Реализованы мероприятия, направленные на создание новых мест в общеобразовательных организациях, расположенных в субъектах Российской Федерации, входящих в состав Северо-Кавказского федерального округа, путем предоставления субсидий из федерального бюджета бюджетам субъектов Российской Федерации, что позволит до конца 2021 года построить 2 общеобразовательные организации (школы в г.
 Пятигорске и г. Кисловодске).</t>
  </si>
  <si>
    <t>К концу
 2020 года сформированы, апробированы и внедрены методические рекомендации по
 системе функционирования психологических служб в общеобразовательных
 организациях в не менее чем в 5 субъектах Российской Федерации, что позволит обеспечить
 единые подходы к созданию необходимых организационных,
 методических и финансово-экономических условий для психологического
 сопровождения обучающихся. С учетом результатов апробации методические
 рекомендации будут обновлены и доведены до субъектов Российской Федерации.</t>
  </si>
  <si>
    <t>К концу
 2019 года разработана методология и критерии оценки качества общего образования
 в общеобразовательных организациях на основе опыта проведения массовых
 оценочных процедур в Российской Федерации, практики международных
 сопоставительных исследований качества образования и в интеграции с уже
 выстроенной системой оценки качества российского образования, что позволит
 обеспечить основные организационные, методологические условия для эффективной реализации
 мероприятий настоящего федерального проекта, а также для достижения ключевых
 показателей национального проекта "Образование" в части обеспечения к
 2024 году глобальной конкурентоспособности общего образования России.
 Разработаны рекомендации по использованию методологии оценки в
 общеобразовательных организациях.</t>
  </si>
  <si>
    <t>К концу
 2019 года разработаны и внедрены методические рекомендации (целевая модель)по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 обеспечены организационные и
 методологические условия для участия указанных структур в принятии
 соответствующих решений.Результат является "перекрестным" с результатами федеральных проектов "Успех каждого ребенка" и "Молодые профессионалы (Повышение конкурентоспособностипрофессионального образования)".</t>
  </si>
  <si>
    <t>К 30
 апреля 2024 года проведена оценка качества общего образования в 85 субъектах
 Российской Федерации (кроме организаций, осуществляющих образовательную деятельность
 исключительно по адаптированным общеобразовательным программам) в
 соответствии с методологией и критериями на основе практики международных
 исследований и опыта проведения массовых оценочных процедур в Российской
 Федерации.</t>
  </si>
  <si>
    <t>К концу 2021 года во всех субъектах Российской Федерации для педагогических
 работников предметной области
 "Технология" и других предметных областей естественнонаучной и
 технической направленностей функционирует система повышения квалификации на
 базе организаций, осуществляющих образовательную деятельность по
 образовательным программам среднего профессионального и высшего образования,
 детских технопарков "Кванториум", предприятий реального сектора
 экономики, при этом в 2022-2024 годы обеспечены разработка новых образовательных программ дополнительного профессионального образования (в том числе в рамках мероприятий федерального проекта "Учитель будущего"), выявление и распространение лучших практик переподготовкипедагогических работниковпредметной области "Технология"и других предметных областей естественнонаучной и технической направленностей.Проведен ежегодный мониторинг по оценке изменений в освоении обучающимися
 соответствующих образовательных программ, с учетом повышения квалификации
 педагогических работников.</t>
  </si>
  <si>
    <t>К концу
 2021 года обновлены содержание, методики и технологии обучения по
 образовательным программам общего образования,
 в том числе в части учета особых образовательных потребностей обучающихся. В
 федеральные государственные образовательные стандарты (ФГОС) общего образования
 внесены изменения, в том числев рамках реализации поручения Президента Российской Федерации (ч.9 пп. "а" п. 2, № Пр-294 от 26 февраля 2019 г.), а такжеформализовано понятие "гибкие компетенции".
 Обновлены примерные основные общеобразовательные программы (ПООП) по всем уровням
 общего образования в соответствии с обновленными ФГОС, что в совокупности
 обеспечит условия для повышения качества общего образования. В 2022-2024 годы обеспечено проведение мониторинга внедрения ФГОС и ПООП, выявление и распространение лучших региональных практик, подготовка специалистов к работе в условиях новых ФГОС и другие мероприятия, обеспечивающие повышение эффективностиобучения по образовательным программамобщегообразования.
 Создана методология и технология разработки нового поколения измерительных
 материалов оценки уровня владения обучающимися гибкими компетенциями и базовой грамотности (финансовой,
 информационной, правовой, здоровьесберегающей и пр.). Обеспечено проведение
 оценки успешности в освоении обновленных образовательных программ обучающимися
 общеобразовательных организаций.
 Результат является одним из ключевых для федерального проекта, непосредственно
 влияет на достижение показателей национального проекта "Образование",
 в том числе показателя "средневзвешенный результат Российской Федерации в
 группе международных исследований".</t>
  </si>
  <si>
    <t>К концу
 2021 года ликвидировано обучение в 3-ю смену за счет ввода новых мест,
 оснащенных необходимой материально-технической базой, позволяющей реализовывать
 обновленные образовательные программы (по данным федерального статистического
 наблюдения по состоянию на 1января 2018 г. обучение в 3-ю смену не
 ликвидировано в Республике Дагестан, Карачаево-Черкесской Республике,
 Республике Бурятия и Республике Ингушетия).
 Создание новых мест в общеобразовательных организациях осуществлено в рамках
 региональных программ, которые включают в себя мероприятия по модернизации
 инфраструктуры общего образования (строительство зданий (пристроек к зданию),
 приобретение (выкупа) зданий (пристроек к зданию) общеобразовательных
 организаций, расположенных в субъектах Российской Федерации),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Региональные программы софинансируются из федерального бюджета, в том числе в
 рамках отдельной субсидии из федерального бюджета бюджетам субъектов Российской
 Федерации.</t>
  </si>
  <si>
    <t>К концу
 2022 года внедрены обновленные примерные основные общеобразовательные
 программы, разработанные в рамках федерального проекта, в общеобразовательные
 организации всех субъектов Российской Федерации, что позволит повысить качество
 преподавания всех предметных областей, обеспечить соответствие условий обучения
 современным требованиям, компетенциям и знаниям, а также будет способствовать
 достижению главных целевых установок реализации настоящего федерального проекта
 и национального проекта "Образование" в целом.
 Проведен мониторинг использования обновленных федеральных государственных
 образовательных стандартов общего образования, в том числе требований к результатам
 освоения образовательной программы общего образования.</t>
  </si>
  <si>
    <t>К концу
 2024 года проведен мониторинг внедрения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 что
 позволит выработать необходимые и своевременные управленческие решения в части
 качественного изменения преподавания основных предметных областей, а также
 будет способствовать достижению целевых показателей настоящего федерального
 проекта и национального проекта "Образование" в целом.</t>
  </si>
  <si>
    <t>В
 соответствии с разработанной методологией наставничества
 обучающихся общеобразовательных организаций, в том числе с применением
 лучших практик обмена опытом между обучающимися и привлечением представителей
 работодателей к этой деятельности, к концу 2024 года не менее 70% обучающихся
 общеобразовательных организаций вовлечены в различные формы сопровождения и наставничества (2019 г. - 3 % обучающихся; 2020 г. - 10 % обучающихся; 2021 г. - 20 %
 обучающихся; 2022 г. - 35 % обучающихся; 2023 г. - 50 % обучающихся; 2024 г. -
 70 % обучающихся), что
 позволит создать условия для формирования активной гражданской позиции у
 каждого обучающегося, а также достичь цели и целевых показателей национального
 проекта "Образование" в части воспитания гармонично развитой и
 социально ответственной личности на основе духовно-нравственных ценностей
 народов Российской Федерации, исторических и национально-культурных традиций. 
 Разработаны и внедрены программы
 менторства и наставничества для
 обучающихся в рамках взаимодействия с предприятиями субъектов Российской
 Федерации.</t>
  </si>
  <si>
    <t>К концу 2024 года не менее чем 70 %
 общеобразовательных организаций реализуют образовательные программы в сетевой
 форме в целях повышения эффективности использования инфраструктуры и кадрового
 потенциала системы образования и расширения возможностей детей в освоении
 программ общего образования. Реализация мероприятий федерального проекта будет
 направлена на повышение доступности качественного, вариативного образования,
 что позволит поэтапно достичь следующих результатов охвата организаций,
 реализующих программы начального, основного и среднего общего образования -
 реализуют общеобразовательные программы в сетевой форме, накопительным итогом:
 2019 г. – 3 % организаций;
 2020 г. – 10 % организаций;
 2021 г. – 20 % организаций;
 2022 г. – 35 % организаций;
 2023 г. – 50 % организаций;
 2024 г. – 70 % организаций.</t>
  </si>
  <si>
    <t>К концу
 2024 года не менее чем в 70% общеобразовательных организаций обеспечено
 вовлечение общественно-деловых объединений
 и участие представителей работодателей в принятии решений по вопросам
 управления развитием общеобразовательных организаций.</t>
  </si>
  <si>
    <t>К концу
 2024 года будут созданы не менее 230тыс. новых мест в общеобразовательных
 организациях (продолжение реализации приоритетного проекта "Современная
 образовательная среда для школьников"), что позволит повысить доступность
 и улучшить качество общего образования. 
 Создание новых мест в общеобразовательных организациях осуществлено в рамках
 региональных программ, которые включают в себя мероприятия по модернизации
 инфраструктуры общего образования (строительство зданий (пристроек к зданию),
 приобретение (выкупа) зданий (пристроек к зданию) общеобразовательных
 организаций, расположенных в субъектах Российской Федерации),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Региональные программы
 софинансируются из федерального бюджета, в том числе в рамках отдельной
 субсидии из федерального бюджета бюджетам субъектов Российской Федерации.
 Актуализированы перечень средств обучения и воспитания, необходимых для
 реализации образовательных программ начального общего, основного общего и
 среднего общего образования, соответствующих современным условиям обучения,
 необходимого оборудования при оснащении общеобразовательных организаций в целях
 реализации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критерии его формирования и требования к функциональному
 оснащению, а также норматив стоимости оснащения одного места обучающегося
 средствами обучения и воспитания.</t>
  </si>
  <si>
    <t>К концу
 2024 года построены и введены в эксплуатацию 25 школ с привлечением
 инициативного внебюджетного финансирования на условиях возвратного
 финансирования, что позволит внедрить систему применения негосударственных
 инвестиций не только на этапе проектирования и строительства школ, но и в
 процессе их дальнейшего содержания и обслуживания. Данные меры приведут к
 оптимизации расходования бюджетных средств, а также будут способствовать
 развитию конкурентной среды в сфере образования субъектов Российской Федерации,
 в которых создаются подобные школы.</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</si>
  <si>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"Целевая образовательная среда"</t>
  </si>
  <si>
    <t>Формирование эффективной системы выявления, поддержки и развития способностей и талантов у детей и молодежи, основанной на принципах справедливости, всеобщности и направленной на самоопределение и профессиональную ориентацию всех обучающихся</t>
  </si>
  <si>
    <t xml:space="preserve">Созданы новые места в образовательных организациях различных типов для реализации дополнительных общеразвивающих программ всех направленностей </t>
  </si>
  <si>
    <t>Проведен
 отбор заявок субъектов Российской Федерации, показывающих низкий охват детей
 дополнительными общеобразовательными программами (менее 50% детей), на
 предоставление субсидий из федерального бюджета на обновление
 материально-технического обеспечения (софинансирование закупки средств
 обучения) существующей инфраструктуры системы дополнительного образования в
 соответствии с Методикой определения высокооснащенных мест для реализации
 образовательных программ в системе дополнительного образования детей (разработана
 в рамках реализации приоритетного проекта "Доступное дополнительное
 образование для детей"). При реализации мероприятий по созданию новых мест дополнительного образования детей указывается количество введеных ученико-мест, обеспечивающих повышение охвата детей в
 возрасте от 5 до 18 лет дополнительным образованием.За счет средств субсидии из федерального бюджета к концу 2019 года созданы 150тыс. новых ученико-мест (к концу 2021 года - 900тыс. нарастающим итогом) в образовательных организациях различных типов для реализации дополнительных общеразвивающих программ всех направленностей.При расчете количества новых ученико-мест по отношению к создаваемым «физическим» местам в соответствии с Рекомендованным перечнем средств обучения, длясоздания новых ученико-мест учитываться среднее число групп детей (в среднем по Российской Федерации - 6 групп), которые могут быть набраны на обучение по дополнительной общеразвивающей программе в течение учебного года в соответствующем населенном пункте с учетом социально-демографической ситуации,
исходя из данных приложения № 3 «Рекомендуемый режим занятии детей в организациях дополнительного образовании» санитарно-эпидемиологических
 требований к устройству, содержанию и организации режима работы образовательных организаций дополнительного образования детей» 2.4.4.3172-14, утвержденных постановлением главного государственного санитарного врача Российской Федерации
 от 4 июля 2014 года № 41 и Методики определения высокооснащенных мест для реализации образовательных программ в системе дополнительного образования детей, утвержденной руководителем приоритетного проекта «Доступное дополнительное образование для детей»,
 заместителем Министра образования и науки Российской Федерации 1 июня 2017 года. Значение количества создаваемыхученико-мест, обеспечивающих повышение охвата детей в возрасте от 5 до 18 лет дополнительным образованием,подлежит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</si>
  <si>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Разработаны программы открытых онлайн-уроков, реализуемых с учетом опыта и моделей
 образовательных онлайн платформ, в том числе "Проектория", за счет федеральной поддержки, а также "Сириус.Онлайн", "Уроки
 настоящего" и других аналогичных платформ, направленных на раннюю
 профессиональную ориентацию обучающихся. 
 В рамках программ проведены уроки, в которых к концу 2024 года ежегодно
 принимают участие не менее 12 млн. детей.
 Одновременно с целью выявления и распространения лучших практик проведены
 ежегодные конкурсные отборы лучших открытых онлайн-уроков, направленных на раннюю профориентацию, создание условий
 для самоопределения в выборе будущего профессионального пути, а также
 обеспечивающих сопровождение процесса выстраивания индивидуального учебного
 плана для участников уроков, в том числе представителями отраслей
 производственной сферы, общественности, реального сектора экономики, ведущих
 университетов, включая студентов - получателей грантов Президента Российской
 Федерации. Реализация мероприятий будет осуществляться в том числе на базе предпрофильных классов.</t>
  </si>
  <si>
    <t>Создана и функционирует система мер ранней профориентации, которая обеспечивает
 ознакомление обучающихся 6-11 классов с современными профессиями, позволяет
 определить профессиональные интересы детей, получить рекомендации по построению индивидуального учебного плана. Система основывается на реализации дополнительных общеобразовательных программ, включающих в себя механизмы профессиональных проб и работу с лучшими представителями профессий, а также использования цифровых инструментов (сводное электронное портфолио).
 За счет средств федерального бюджета реализуются мероприятия в рамках
 реализации проекта по ранней профессиональной ориентации учащихся 6 - 11
 классов общеобразовательных организаций "Билет в будущее", с охватом
 обучающихся 6-11 классов (нарастающим итогом с 2018 года):
 2019 год - не менее 200тыс. детей;
 2020 год - не менее 300тыс. детей;
 2021 год - не менее 400тыс. детей; 
 2022 год - не менее 550тыс. детей;
 2023 год - не менее 700тыс. детей;
 2024 год - не менее 900тыс. детей.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 Реализация мероприятий будет осуществляться в
 том числе на базе предпрофильных классов.</t>
  </si>
  <si>
    <t>Проведен отбор субъектов Российской Федерации на предоставление субсидий из федерального бюджета на обновление материально-технической базы (закупка средств обучения и услуг по приведению в нормативное состояние помещений спортивных залов) в общеобразовательных организациях, расположенных в сельской местности и малых городах, с учетом существующего регионального опыта определения уровня оснащения материально-технической базы общеобразовательных организаций, расположенных в сельской местности и населенных пунктах, численность населения которых не превышает 50 тыс. человек (в том числе поселки городского типа), для реализации программ по  предмету "Физическая культура".Реализация мероприятий обновлению материально-технической базы в общеобразовательных организациях, расположенных в сельской местности и малых городах, проводится по следующим направлениям:ремонт спортивных залов, перепрофилирование имеющихся аудиторий под спортивные залы для занятия физической культурой и спортом,развитие школьных спортивных клубов,оснащение спортивным инвентарем и оборудованием открытых плоскостных спортивных сооружений.
 К 2024 году на обновленной материально-технической базе в не менее чем 7000
 общеобразовательных организациях не менее 935тыс. детей (нарастающим
 итогом к 2018 году) обучаются по обновленным программам по предмету
 "Физическая культура", а также дополнительным общеобразовательным
 программам, реализуемым во внеурочное время.Значение количества организаций, в которых обновлена материально-техническая база для занятий физической культурой и спортом, 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</si>
  <si>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К 2024 году будут функционирует не менее 245 детских  технопарков "Кванториум" (нарастающим итогом к 2016 году), с охватом (вместе с охватом мобильными технопарками "Кванториум") не менее 2 млн. детей, участвующих в мероприятиях, реализуемых технопарками, и (или) осваивающих современные дополнительные
 общеобразовательные программы естественнонаучной и технической направленности, в том числе (нарастающим итогом к 2016 году):в 2019 году - 385 тыс. детей;в 2020 году - 550 тыс. детей;в 2021 году - 800 тыс. детей;в 2022 году - 950 тыс. детей;в 2023 году - 1100 тыс. детей.Проведен отбор заявок субъектов Российской Федерации на предоставление субсидий из федерального бюджета на созданиедетских технопарков "Кванториум".Заключены соглашения с субъектами Российской Федерации на предоставление субсидии из федерального бюджета бюджетам субъектов Российской Федерации.Субъектами Российской Федерации реализованы мероприятия по созданиюдетских технопарков "Кванториум"в соответствии с утвержденными Минпросвещения России методическими рекомендациями.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программам.Значение количествадетских технопарков "Кванториум"подлежит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</si>
  <si>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Проведен анализ лучших мировых практик наставничества, а также опыта субъектов Российской Федерации. К концу 2019 года разработана и направлена в субъекты Российской Федерации методология (целевая модель) наставничества, в том числе обучающихся организаций, осуществляющих образовательную деятельность по дополнительным общеобразовательным программам с применением
 лучших практик обмена опытом между обучающимися разных возрастов. 
 По итогам утверждения методологии субъектами Российской Федерации утверждаются
 планы мероприятий по внедрению методологии наставничества для
 обучающихся.</t>
  </si>
  <si>
    <t>К 2024 году обеспечено доведение доли детей с ограниченными
 возможностями здоровья, охваченных программами дополнительного
 образования, в том числе с использованием дистанционных технологий, до 70% от
 общего числа детей указанной категории., Субъектами Российской Федерации
 (органами местного самоуправления) сформированы и реализуются мероприятия (в
 том числе в рамках региональных проектов) по поэтапному вовлечению детей с
 ограниченными возможностями здоровья в дополнительное образование, в том числе
 информационные кампании, разработка и обеспечение внедрения дистанционных
 образовательных программ, мероприятия по развитию инфраструктуры для детей с
 ОВЗ и другие. Организациями, реализующими дополнительные общеобразовательные программы, обеспечивается разработка ивнедрение дополнительных
 общеобразовательных программ, в том числе с использованием дистанционных технологий, разработанных с учетом лучших практик.</t>
  </si>
  <si>
    <t>Проведение образовательных мероприятий для детей с ограниченными возможностями здоровья (охват программами дополнительного образования, в том числе с использованием дистанционных технологий)</t>
  </si>
  <si>
    <t>Проведен отбор заявок субъектов Российской Федерации на создание в субъектах Российской Федерации региональных центров выявления, поддержки и развития способностей и талантов у детей и молодежи, функционирующих с учетом опыта Образовательного фонда "Талант и успех".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реализованы мероприятия по созданию центров
 выявления, поддержки и развития способностей и талантов у детей и молодежи в
 соответствии с утвержденными Минпросвещения России совместно с Образовательным
 фондом "Талант и успех" методическими рекомендациями. 
 К 2024 году центры созданы в каждом субъекте Российской Федерации. Каждый из
 центров обеспечивает охват не менее 5% обучающихся по образовательным
 программам основного и среднего общего образования в соответствующих субъектах
 Российской Федерации(в том числе до 1% обучающихся по направлению «Спорт»), в том числе программами дополнительного образования детей, проводимыми на регулярной (еженедельной) основе, профильными региональными сменами, программами с применением дистанционных технологий, а также в центрах проводятся на регулярной основе особо значимые региональные мероприятия по выявлению
 выдающихся способностей и высокой мотивации у детей и молодежи.
 На платформе "Сириус.Онлайн"
 с использованием сведений Государственного информационного ресурса о детях,
 проявивших выдающиеся способности, функционирует банк сводных электронных
 портфолио одаренных детей, обеспечивающий основу для их дальнейшего
 сопровождения и построения индивидуального учебного плана.</t>
  </si>
  <si>
    <t>Созданы ключевые центры дополнительного образования детей,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или обеспечивающих деятельность центров компетенций Национальной технологической инициативы.</t>
  </si>
  <si>
    <t>Проведен отбор заявок субъектов Российской Федерации на создание центров,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международных математических центров, выполняющих исследования
 и разработки по актуальным направлениям развития математики с участием
 российских и зарубежных ведущих ученых, или обеспечивающих
 деятельность центров компетенций Национальной технологической инициативы (как
 структурных подразделений образовательной организации высшего образования,
 имеющей соответствующую лицензию на осуществление обучения по дополнительным
 общеобразовательным программам для детей). 
 Заключены соглашения с субъектами Российской Федерации на предоставление
 субсидии из федерального бюджета бюджетам субъектов Российской Федерации.
 Субъектами Российской Федерации совместно с образовательными организациями
 высшего образования реализованы мероприятия по созданию центров в соответствии
 с методическими рекомендациями Минпросвещения России. 
 Центры, используя возможности образовательных организаций высшего образования
 (кадровые, инфраструктурные, материально-технические), обеспечивают обучение
 детей по актуальным дополнительным общеобразовательным программам, в том числе
 в рамках решения кадровых задач Стратегии научно-технологического развития
 Российской Федерации. К реализации дополнительных общеобразовательных программ
 в таких центрах привлечены преподаватели и научные сотрудники образовательных
 организаций высшего образования. 
 К концу 2024 года создано не менее 100 центров с охватом не менее 40тыс.
 детей ежегодно (охват в 2019 г. составит не менее 6 тыс. человек, далее нарастающим итогом позволит достичь следующих значений: в 2020 г. - 12 тыс. человек, в 2021 г. - 18 тыс. человек, в 2022 г. - 24 тыс. человек, 2023 г. - 30 тыс. человек, 2024 г. - 40 тыс. человек).Значение количества создаваемых центров,реализующих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международных математических центров, выполняющих исследования и разработки по актуальным направлениям развития математики с участием российских и зарубежных ведущих ученых, или обеспечивающих деятельность центров компетенций Национальной технологической инициативы,подлежит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</si>
  <si>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01.11.2018</t>
  </si>
  <si>
    <t xml:space="preserve">Оказана поддержка организациям на реализацию пилотных проектов по обновлению содержания и технологий дополнительного образования по приоритетным направлениям, в том числе поддержаны проекты по организации летних школ, организованных российскими образовательными организациями, с участием не менее 18 тыс. детей и представителей молодежи из числа иностранных граждан </t>
  </si>
  <si>
    <t>Проведен отбор организаций, осуществляющих деятельность в сфере развития дополнительного образования детей, нареализацию пилотных проектов по обновлению содержания и технологий дополнительного образования по приоритетным направлениям, в том числе в целях поддержкипроведения летних школ с участием детей и представителей молодежи из числа иностранных граждан, организованных российскими
 образовательными организациями с целью формирования у обучающихся навыков и компетенций, в том числе практических, соответствующих тематикам
 проведения летних школ.
 Летние школы проводятся с целью поддержки инициативной и талантливой молодежи, создания особой социокультурной среды, сообществ обучающихся, их проведение обеспечит продвижение лучших российских образовательных проектов в мировом сообществе, а также создаст благоприятные условия для повышения уровня глобальной конкурентоспособности российского образования.
 Организация и проведение летних школ обеспечит вовлечение детей и молодежи из
 числа иностранных граждан, в том числе:
 в 2020 году - 2тыс. человек;
 в 2021 году - 5тыс. человек;
 в 2022 году - 8тыс. человек;
 в 2023 году - 12тыс. человек;
 в 2024 году - 18тыс. человек.</t>
  </si>
  <si>
    <t>Определена площадка проведения Международной математической олимпиады в Санкт-Петербурге 1 октября 2020 года. Обеспечено участие в олимпиаде российских школьников, а также иностранных участников по результатам отборочного тура. Проведение олимпиады позволит:
 - обеспечить позиционирование Российской Федерации на мировом уровне как
 ведущей страны в области преподавания математики;
 - создать условия для развития математического образования в Российской
 Федерации с учетом международного опыта;
 - совершенствовать организационные и методические условия функционирования
 олимпиадного движения в Российской Федерации.В целях в
 развития олимпиадного движения школьников будет в целях обеспечения результата
 будет продолжена реализация ведомственного проекта «Олимпиадное движение
 школьников», в том числе обеспечено проведение этапов всероссийской олимпиады
 школьников и комплектование сборных команд на международные этапы олимпиад.</t>
  </si>
  <si>
    <t>К концу 2024 году будут функционировать не менее 340мобильных технопарков "Кванториум"
 (для детей, проживающих в сельской местности и малых городах).Проведен отбор заявок субъектов Российской Федерации на предоставление субсидий из федерального бюджета на созданиемобильныхдетских технопарков "Кванториум".Заключены соглашения с субъектами Российской Федерации на предоставление субсидии из федерального бюджета бюджетам субъектов Российской Федерации.Субъектами Российской Федерации реализованы мероприятия по созданиюмобильных детских технопарков "Кванториум"в соответствии с утвержденными Минпросвещения России методическими рекомендациями.
 Одновременно субъектами Российской Федерации и образовательными организациями
 могут самостоятельно быть инициированы и реализованы аналогичные проекты,
 направленные на расширение возможностей для построения индивидуальных
 образовательных траекторий обучающихся по основным и дополнительным
 общеобразовательным программам.Значение количествамобильных технопарков "Кванториум"подлежит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</si>
  <si>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В  соответствии с поручением президиума Совета при Президенте Российской Федерации по стратегическому развитию и приоритетным проектам (п. 2 протокола от 29 марта  2018 г. № 3) на основе лучших практик субъектов Российской Федерации сформирована целевая модель региональной системы дополнительного образования.
 К концу 2021 года основные положения целевой модели развития региональных систем дополнительного образования детей внедрены во всех субъектах Российской Федерации, в том числе за счет финансовой поддержки из федерального бюджета и внебюджетных источников субъектам Российской Федерации до 2024 года, с учетом специфики территорий и
 позволит создать нормативно-правовые, организационные и методические условия
 для развития системы дополнительного образования детей в целях достижения
 показателей федерального проекта.
 Реализация целевой модели предусматривает
 внедрение механизмов адресной поддержки отдельных категорий детей, в том
 числе оказавшихся в трудной жизненной ситуации, для получения доступного
 дополнительного образования и реализации талантов детей из малообеспеченных
 семей, а также проведение мониторинга доступности дополнительного образования с
 учетом индивидуальных потребностей и особенностей детей различных категорий (в
 том числе талантливых детей, детей с ограниченными возможностями здоровья,
 детей, проживающих в сельской местности, детей из семей, находящихся в трудной
 жизненной ситуации, детей из малоимущих семей).Значение динамики числа субъектов Российской Федерации, внедрившихцелевую модель региональной системы дополнительного образования,подлежит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</si>
  <si>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Разработка и внедрение к концу 2019 года методических рекомендаций (целевой модели)по механизмам вовлечения общественно-деловых объединений и участия представителей работодателей в принятии решений по вопросам управления развитием образовательной организации дополнительного образования детей на основе созданнойцелевой модели вовлечения общественно-деловых объединений ипредставителей
 работодателей в управление развитием образовательными организациями, в
 том числе через представительство вколлегиальных органах управления и
 посредством участия в обновлении образовательных программ,позволит:
 - расширить практику участия представителей общественно-делового сообщества
 и работодателей, в том числе реального сектора экономики, в управлении
 деятельностью образовательных организаций;
 - повысить эффективность управления образовательными организациями, в том
 числе в части финансово-экономического управления, а также контроля качества
 образовательной деятельности.</t>
  </si>
  <si>
    <t>Вовлечение к концу 2024 года не менее 70% обучающихся организаций, осуществляющих образовательную деятельность по дополнительным общеобразовательным программам, в различные формы наставничества позволит создать условия для формирования активной гражданской позиции у каждого обучающегося, а также достичь целевых установок национального проекта "Образование" в части воспитания гармонично 
 развитой и социально ответственной личности на основе духовно-нравственных
 ценностей народов Российской Федерации, исторических и национально-культурных
 традиций.</t>
  </si>
  <si>
    <t>Внесены изменения в нормативно-правую базу с целью предоставления возможностей зачета результатов освоения обучающимися
 дополнительных общеобразовательных программ и программ профессионального
 обучения в рамках основных общеобразовательных программ. 
 Перечень нормативно-правовых актов, подлежащих изменению, определяется на
 начальном этапе реализации проекта.
 Освоение основных общеобразовательных программ по индивидуальному учебному
 плану, в том числе в сетевой форме, с зачетом результатов освоения
 дополнительных общеобразовательных программ и программ профессионального
 обучения, в том числе с использованием дистанционных
 технологий, позволит к концу 2024 года создать для обучающихся 5-11
 классов эффективные и "гибкие" механизмы освоения указанных программ,
 которые обеспечат оптимизацию учебного времени обучающихся, высвободив его для
 мероприятий по саморазвитию и профессиональному самоопределению.</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</si>
  <si>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
 Результат
 реализуется в рамках всего национального проекта, является «перекрестным»
 результатом с федеральным проектом "Целевая образовательная среда"</t>
  </si>
  <si>
    <t>Создание условий для раннего развития детей в возрасте до трех лет, реализация программы психолого-педагогической, методической и консультативной помощи родителям детей, получающих дошкольное образование в семье</t>
  </si>
  <si>
    <t>К 1 декабря
 2019 года создан федеральный портал
 информационно-просветительской поддержки родителей в информационно-телекоммуникационной сети
 "Интернет" (далее - портал) с учетом имеющегося опыта (например, Международный проект
 "Энциклопедия раннего детского развития")4.
 Портал направлен на информационно-просветительскую поддержку родителей
 обучающихся. Разделы портала содержат информацию по вопросам оказания услуг психолого-педагогической, методической и
 консультативной помощи, повышения психолого-педагогической грамотности
 родителей обучающихся, в том числе для обеспечения раннего развития детей в
 возрасте до трех лет, информационные и мультимедийные материалы, а также модули
 для организации коммуникации пользователей портала, в том числе в диалоговом
 режиме.
 Портал ориентирован на работу со
 следующими категориями семей: семьи, в которых воспитывается неродной ребенок
 (семьи опекунов, усыновителей, в которых детей воспитывают приемные родители
 (отчим или мачеха), приемные семьи, детские дома семейного типа); малообеспеченные
 семьи; многодетные семьи; семьи, воспитывающие детей с особыми потребностями; неполные семьи; молодые
 семьи.
 Будет реализован комплекс мероприятий по продвижению (популяризации)
 портала среди граждан.
 Портал будет обновляться в ходе реализации федерального проекта, в том числе
 будут размещаться актуальные информационные и методические материалы, описание
 лучших практик субъектов Российской Федерации и НКО по организации работы с
 родителями воспитанников, обучающихся, экспертные заключения и публикации по
 различным тематикам психолого-педагогической,
 методической и консультативной помощи родителям детей. 
 Через портал будет обеспечено
 информирование граждан о реализации мероприятий федерального проекта, а также предоставлена
 возможность получателям услуг оценить качество их предоставления</t>
  </si>
  <si>
    <t>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НКО</t>
  </si>
  <si>
    <t>Основным
 результатом проекта является удовлетворение потребности родителей (законных
 представителей) в саморазвитии по вопросам образования и воспитания детей, в
 том числе родителей детей, получающих
 дошкольное образование в семье.
 Результат будет достигнут за счет реализации программы
 психолого-педагогической, методической и консультативной помощи родителям
 (законных представителей) через предоставление указанным категориям граждан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(далее -
 услуги), в том числе (нарастающим итогом с 2019 года):
 в 2019 году - не менее 2 млн. услуг в не менее чем 10 субъектах Российской
 Федерации;
 в 2020 году - не менее 4 млн. услуг в не менее чем 25 субъектах Российской
 Федерации;
 в 2021 году - не менее 7 млн. услуг в не менее чем 40 субъектах Российской
 Федерации;в 2022 году - не менее10 млн. услуг в не менее чем55 субъектах Российской Федерации;в 2023 году - не менее15 млн. услуг в не менее чем70 субъектах Российской Федерации;в 2024 году - не менее20 млн. услуг во всех субъектах Российской Федерации.
 В 2019 году будут определены категории (виды), общие требования к расчету
 нормативных затрат, описание содержания услуг, в том числе в соответствии с
 возрастными особенностями, а также учитывающие вопросы раннего развития,
 воспитания, психологического здоровья и
 т.д. 
 Реализация услуг предполагается через сеть НКО и иных организаций, в том числе
 государственных, муниципальных, социально-ориентированных НКО, организаций,
 реализующих функции территориальных центров социальной помощи семье и детям,
 центров психолого-педагогической помощи населению.
 С учетом методических рекомендаций по информационно-просветительской поддержке
 родителей к 2019 году будут сформированы содержание и требования к услугам, а
 также с учетом критериев оценки качества оказания общественно полезных услуг,
 утвержденных постановлением Правительства Российской Федерации от 27 октября
 2016 г. № 1096, будут сформированы критерии оценки качества оказания услуг. 
 Будет проведено обучение специалистов НКО и иных организаций, в том числе
 государственных и муниципальных, по дополнительной профессиональной
 программе для специалистов, оказывающих
 услуги психолого-педагогической, методической и консультативной помощи.
 Обучение будет проведено на базе организаций дополнительного профессионального
 образования, определенных субъектами Российской Федерации. 
 В соответствии со сформированными содержанием, требованиями и критериями оценки
 качества услуг запланирован ежегодный отбор организаций на получение грантов в
 форме субсидий на поддержку развития деятельности по информационно-просветительской
 поддержке родителей в регионах.
 Будут заключены соглашения о предоставлении грантов в форме субсидий в целях
 оказания услуг, проведен мониторинг оказания услуг и оценка достижения
 показателей и качества оказанных услуг.</t>
  </si>
  <si>
    <t>Разработаны и внедрены во всех субъектах Российской Федерации методические рекомендации по обеспечению информационно-просветительской поддержки родителей, включающие создание, в том числе в дошкольных образовательных и общеобразовательных организациях,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на безвозмездной основе</t>
  </si>
  <si>
    <t>В 2019
 году разработаны методические рекомендации, включающие в себя рекомендации по
 организационно-управленческим, нормативным, методическим мероприятиям,
 обеспечивающим расширение информационно-просветительской поддержки родителей
 через создание, в том числе, в дошкольных образовательных и общеобразовательных
 организациях, на базе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а также перечень
 показателей эффективности услуг и описание ожидаемых результатов.
 К концу 2021 года методические рекомендации внедрены во всех субъектах
 Российской Федерации, в том числе достигнуты показатели эффективности
 реализации рекомендаций через создание и поддержку деятельности
 консультационных центров, обеспечивающих получение родителями детей дошкольного
 возраста методической, психолого-педагогической, в том числе диагностической и
 консультативной, помощи на безвозмездной основе.В 2022-2024 годы обеспечено сопровождение и поддержка субъектов Российской Федерации в реализации и развитииинформационно-просветительской поддержки родителей, в первую очередь детей раннего возраста.</t>
  </si>
  <si>
    <t>Центр цифровой трансформации образования планируется
 создатьк 1 мая 2019 г. с учетом регионального опыта и
 успешных практик. Функциональные особенности Центра заключаются в
 организационном, нормативно-правовом, кадровом и финансово-экономическом
 сопровождении реализации мероприятий настоящего федерального проекта, в том
 числе:
 - координации и методическом сопровождении создания информационных систем в рамках национального проекта "Образование";- информационно-методическое, экспертное сопровождение реализации мероприятий федерального проекта, сопровождение органов исполнительной власти субъектов Российской Федерации в рамках реализации федерального проекта, в том числе сопровождениевнедрения современных цифровых технологий в образовательный процесс.- реализация мероприятий по внедрению целевой модели цифровой образовательной
 среды в субъектах Российской Федерации;
 - разработка и внедрение федеральной информационно-сервисной
 платформы цифровой образовательной среды;
 - создание центров цифрового образования
 "IT-куб".</t>
  </si>
  <si>
    <t>Утверждение к 1 августа 2019 года целевой модели цифровой образовательной среды
 (далее - целевая модель ЦОС) с учетом опыта организаций, реализующих успешные
 практики в сфере информатизации образования позволит определить и нормативно
 закрепить основные условия, особенности и критерии создания и функционирования
 цифровой образовательной среды для разных уровней образования. 
 Целевая модель ЦОС будет включать в себя:
 - целевую модель
 "бережливой школы"; 
 - целевую модель системы
 управления обучением; 
 - целевую модель построения
 индивидуальных учебных планов; 
 -целевую модель базового
 профиля цифровых компетенций обучающегося;
 - создание системы
 объективного оценивания обучающихся, включающей оценку универсальных
 компетенций;
 - целевую модель сервисов и
 контента для родителей;
 - целевую модель сервисов и контента для
 педагогических работников, в том числе сервисов консультативного сопровождения
 по построению индивидуального учебного плана обучающихся, включающего в себя
 возможности общего и дополнительного образования детей.</t>
  </si>
  <si>
    <t>Федеральная
 информационно-сервисная платформа цифровой образовательной среды, разработанная
 и внедряемая начиная с 2019 года направлена на реализацию целевой модели
 ЦОС в целях решения следующих задач:
 - создать организационные и технические возможности для совершенствования
 управления образовательными организациями и сферой образования, в том числе
 оптимизировать и снизить издержки процессов управления деятельностью
 образовательных организаций, повысить транспарентность результатов деятельности
 образовательных организаций, повысить безопасность хранения персональных
 данных, а также снизить нагрузку в части ведения административно-хозяйственной
 и финансово-экономической деятельности и обеспечения учебного и воспитательного
 процесса;
 - создать условия для активного применения цифровых
 сервисов и образовательного контента всеми участниками образовательного
 процесса, а также внедрить инструментарий для формирования ценностных установок
 и повышения мотивации к саморазвитию и самоопределению в профессиональной
 деятельности;
 - сформировать сообщества "горизонтального
 обучения" среди обучающихся и педагогических работников, разработать
 систему фиксации "цифрового следа" и выстраивания индивидуальной
 траектории обучения для каждого обучающегося;
 - создать онлайн-платформу открытого педагогического
 образования;
 - сократить рабочее время
 педагогических работников на заполнение регулярной итоговой отчетности при
 использовании автоматизированных решений формирования отчетности, внедренных в
 федеральную информационно-сервисную платформу;
 - обеспечить интеграцию существующих решений,
 региональные информационные системы.</t>
  </si>
  <si>
    <t>Внедрение к концу 2024 года целевой модели ЦОС во всех субъектах Российской Федерации позволит создать условия для развития цифровизации образовательного процесса в  соответствии с основными задачами, условиями и особенностями функционирования цифровой образовательной среды для разных уровней образования, обеспечиваемой в том числе функционированием федеральной
 информационно-сервисной платформы цифровой образовательной среды.Поддержка из федерального бюджета предоставляется субъектам Российской Федерации на модернизациюк концу 2024 года материально-технической базы в не менее чем 31,5 тыс. общеобразовательных и профессиональных образовательных организаций в целях обеспечения условий для внедрения и развития цифровой образовательной среды в указанных организациях.Значение динамики субъектов Российской Федерации, внедривших целевую модель цифровой образовательной среды,подлежит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</si>
  <si>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Обновление к концу 2022 года всеми образовательными
 организациями информационных представительств в сети Интернет и иных
 общедоступных информационных ресурсов позволит: 
 - обеспечить представление информации об образовательных
 организациях, необходимой для всех участников образовательного процесса;
 - создать систему получения репрезентативных данных,
 обратной связи от родителей (законных представителей) обучающихся, актуальных
 для прогнозирования развития системы образования, включая кадровое,
 инфраструктурное, содержательное, нормативное обеспечение и критерии оценки
 качества образования в соответствии с основными задачами государственной
 политики Российской Федерации, в том числе определенными Указом Президента Российской
 Федерацииот 7 мая 2018 г. № 204.</t>
  </si>
  <si>
    <t>Обеспечение к концу 2024 года Интернет-соединением и
 гарантированным интернет-трафиком 100% образовательных организаций позволит:
 - создать организационные и технические условия для внедрения
 и реализации целевой модели ЦОС, функционирования федеральной информационно-сервисной платформы цифровой образовательной
 среды;
 - обеспечить гарантированный доступ обучающихся в
 общеобразовательных организациях к сети Интернет;
 - оптимизировать финансовую нагрузку на общеобразовательные организации
 в части обеспечения доступа к ресурсам сети Интернет.Результат достигается в рамках реализации федерального проекта "Информационная инфраструктура" национальной программы "Цифровая экономика Российской Федерации".</t>
  </si>
  <si>
    <t>К концу 2020 года квалификации не менее 5
 тыс. работников, привлекаемых к образовательной деятельности, повысят уровень знаний, умений и навыковв областивнедрения и использования современных цифровых технологий в образовании, в том числе в части онлайн-образования.Реализации серии образовательных мероприятий сработниками, привлекаемых к образовательной деятельности, позволит обеспечить приемственность реализуемых на федеральном уровне мер по развитию цифровой образовательной среды и общее повышение качества реализации образовательных программ с использованием современных информационных технологий.</t>
  </si>
  <si>
    <t>Создание к концу 2024 года за счет федеральной
 поддержки не менее 340 центров цифрового образования "IT-куб",
 позволит обеспечить на инфраструктурно-содержательном уровне продвижение
 компетенций в области цифровизации (современные информационные технологии,
 искусственный интеллект, большие данные, облачные пространства,
 программирование и администрирование цифровых операций) среди подрастающего
 поколения, а также стать эффективным механизмом ранней профориентации при
 осуществлении обучающимися выбора будущей профессии и построения траектории
 собственного развития. Создание центров цифрового образования может
 осуществлять также за счет региональных средств.
 Значение количествацентров цифрового образования "IT-куб"подлежит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мероприятий.Число детей, охваченных деятельностью центров цифрового образования "IT-куб" составит:2019 г. - 8 тыс. человек;2020 г. - 28 тыс. человек;2021 г. - 50 тыс. человек;2022 г. - 76 тыс. человек;2023 г. - 104 тыс. человек;2024 г. - 136 тыс. человек.</t>
  </si>
  <si>
    <t>Формирование и утверждение к 1 марта 2020 г. единых технологических требований, позволит
 определить основные принципы для создания и функционирования цифровых платформ,
 сервисов, информационных систем, регламентов информационного взаимодействия,
 форматов обмена данными, обеспечивающих информационное взаимодействие и
 сквозную аутентификацию на цифровых платформах и в информационных системах всех
 уровней образования.</t>
  </si>
  <si>
    <t>Разработка к 1 апреля 2020 г. методологии позволит
 определить основные условия, требования и критерии для эффективного внедрения
 современных цифровых технологий в основные общеобразовательные программы.</t>
  </si>
  <si>
    <t>Внедрение к концу 2024 года в основные образовательные
 программы современных цифровых технологий, для не менее чем 500 тыс. детей,
 обучающихся в 25% общеобразовательных организаций 75 субъектов Российской
 Федерации, позволит:
 - усовершенствовать образовательный процесс по
 отдельным предметным областям путем внедрения современных цифровых технологий;
 - предоставить возможность обучающимся использовать
 технологии виртуальной и дополненной реальности, цифровых двойников и другие
 технологии в освоении отдельных предметных областей;
 - создать условия для подготовки
 высококвалифицированных кадров, обладающих актуальными компетенциями в сфере
 современных технологий.</t>
  </si>
  <si>
    <t>Реализация к концу 2024 года
 во всех субъектах Российской Федерации программы профессиональной
 переподготовки руководителей образовательных организаций и органов
 исполнительной власти субъектов Российской Федерации, осуществляющих
 государственное управление в сфере образования позволит:
 - эффективно внедрить
 целевую модель ЦОС в субъектахРоссийской Федерации;
 - сформировать региональные
 управленческие команды, мотивированные в продвижении и развитии цифровой
 образовательной среды в субъектах Российской Федерации;
 - обеспечить профессиональным кадровым
 составом процесс реализации мероприятий настоящего федерального проекта.</t>
  </si>
  <si>
    <t>Реализация результата направлена на вовлечение различных слоев
 населения в реализацию национального проекта «Образование».
 В
 рамках результата обеспечено расширение аудитории граждан, осведомленных о ходе
 реализации и результатах НП «Образование», включая в том числе граждан, проживающих
 в сельской местности и отдалённых территориях.
 Обеспечено
 расширение аудитории граждан, осведомленных о ходе реализации и результатах НП
 «Образование» через СМИ, социальные сети, теле-, радио- и другие информационные
 ресурсы, в том числе в 2019 году не менее чемна 0,5 млн человек.
 Реализовано не менее 12 публичных мероприятий, содействующих
 доведению до граждан актуальной и достоверной информации о ходе реализации и
 результатах НП «Образования» путем публикации материалов в СМИ.
 Сформирован
 медиаархив информационно-справочных и визуальных материалов, отражающих ход
 реализации НП «Образование».</t>
  </si>
  <si>
    <t>Внедрение национальной системы профессионального роста педагогических работников, охватывающей не менее 50 процентов учителей общеобразовательных организаций</t>
  </si>
  <si>
    <t>Приняты
 федеральные нормативные правовые акты, регламентирующие действие с 1 июня 2020
 г. во всех субъектах Российской Федерации системы аттестации руководителей
 общеобразовательных организаций, которая позволяет:
 сформировать эффективную систему отбора кандидатов на должность руководителей
 общеобразовательных организаций, а также систему кадрового резерва
 руководителей общеобразовательных организаций;
 повысить эффективность образовательной, финансово-хозяйственной,
 организационной деятельности общеобразовательных организаций через разработку и
 реализацию программ развития образовательных организаций;
 подтвердить соответствие уровня квалификации руководителей общеобразовательных
 организаций требованиям, предъявляемым к занимаемой должности;
 установить соответствие уровня квалификации кандидатов на должность
 руководителя общеобразовательной организации требованиям, предъявляемым к
 занимаемой должности;
 выявлять приоритетные направления повышения квалификации и профессиональной
 переподготовки руководителей и кандидатов на должность руководителя
 общеобразовательной организации;
 проводить ежегодный мониторинг результатов аттестационных процедур
 руководителей общеобразовательных организаций.</t>
  </si>
  <si>
    <t>К концу 2020 года разработана методическая и организационная рамка системы непрерывного и планомерного повышения квалификации педагогических работников,которая позволяет:
 обеспечить доступность для каждого педагогического работника качественного
 дополнительного профессионального образования по профилю педагогической деятельности
 с учетом его профессиональных дефицитов
 и интересов, а также требований работодателей;
 создать условия для саморазвития, повышения уровня профессионального
 мастерства, овладения навыками использования современных цифровых технологий;
 обеспечить единые принципы организации и планирования повышения квалификации
 педагогических работников во всех субъектах Российской Федерации; 
 стимулировать участие педагогических работников в деятельности профессиональных
 ассоциаций;
 поддерживать развитие "горизонтального
 обучения" среди педагогических работников, в том числе на основе
 обмена опытом; 
 обеспечить возможность использования в педагогической практике подтвердивших
 эффективность методик и технологий обучения;
 обеспечить опережающее обучение новым образовательным технологиям, внедрение
 различных форматов электронного образования; в том числе мероприятий по
 повышению квалификации учителей, работающих с талантливыми детьми.К 1 сентября 2024 г. системавнедренаво всех субъектах Российской Федерации.Кроме того, синхронизируется работа в
 вузах по доработке и реализации концепции обновления содержания и технологий
 педагогического образования.</t>
  </si>
  <si>
    <t>К концу
 2024 года не менее 50 процентов педагогических работников системы общего,
 дополнительного образования детей и профессионального образования 85 субъектов
 Российской Федерации прошли обучение, в том числе с использованием
 дистанционных технологий, в рамках национальной системы профессионального роста
 педагогических работников на базе не менее 255 центров непрерывного повышения профессионального мастерства
 педагогических работников. Вовлечение педагогических работников проводится поэтапно, в том числе:в 2019-2020 годах - не менее 5 % педагогических работниковсистемы общего, дополнительного образования детей и профессионального образования в не менее чем 20 субъектах Российской Федерации;в 2021 году - не менее 10 % педагогических работниковсистемы общего, дополнительного образования детей и профессионального образования в не менее чем 35 субъектах Российской Федерации;в 2022 году - не менее 20 % педагогических работниковсистемы общего, дополнительного образования детей и профессионального образования в не менее чем 50 субъектах Российской Федерации;в 2023 году - не менее 30 % педагогических работниковсистемы общего, дополнительного образования детей и профессионального образования в не менее чем 70 субъектах Российской Федерации.Формируемая сеть центров непрерывного повышения профессионального мастерства
 педагогических работников обеспечивает:
 актуализацию профессиональных знаний, умений, навыков и компетенций
 педагогических работников;
 подготовку педагогических работников к использованию новых форм, методов и
 средств обучения и воспитания, в том числе разработанных и внедряемых в рамках
 национального проекта "Образование";
 подготовку работников по программам педагогической магистратуры, направленным на
 формирование и развитие исследовательской культуры обучающихся и педагогов, а
 также в форме профессиональных стажировок в рамках взаимодействия с
 предприятиями региона и другими регионами;
 внедрение в образовательный процесс современных технологий обучения и
 воспитания, в том числе проектных форм работы с обучающимися;
 повышение подготовки обучающихся в процессе реализации общеобразовательных
 программ и формирование компетенций с учетом задачи по улучшению результатов
 участия российских школьников в международных исследованиях качества
 образования (PISA, TIMSS, PIRLS).</t>
  </si>
  <si>
    <t>Внедрена к концу
 2020 года национальная система
 учительского роста (НСУР), актуализированы и апробированы до 2024 года
 конкурсы профессионального мастерства, учитываемые в процессе аттестации
 учителей на квалификационную категорию по новым должностям наряду с
 положительной динамикой учебных результатов обучающихся. НСУР, а также
 национальная система педагогического роста педагогических работников,
 реализующаяся на базе центров оценки
 профессионального мастерства и квалификаций педагогов, являющихся
 юридическими лицами, осуществляющими независимую оценку квалификаций
 руководящих и педагогических работников (с рекомендацией учитывать результаты
 при проведении процедуры аттестации) в рамках реализации Федерального закона
 "О независимой оценке квалификации" от 3 июля 2016г. № 238,
 позволяет:
 нормативно установить номенклатуру должностей педагогических работников и
 руководителей образовательных организаций; 
 внести соответствующие номенклатуре должностей дополнения на основе
 методических рекомендаций Минпросвещения России в нормативную базу,
 регламентирующую систему оплаты труда в каждом регионе Российской Федерации;
 выстроить систему карьерного роста педагогических работников и руководителей
 образовательных организаций;
 повысить мотивацию к повышению профессионального мастерства педагогических
 работников; 
 сохранить все предусмотренные действующим федеральным и региональным
 законодательством социальные гарантии при введении новых должностей
 педагогических работников.С учетом, что план мероприятий
 («дорожная карта») по формированию и внедрению НСУР утвержден в 2017 году, в 2018-2019 годах реализация мероприятий настоящего результата будет продолжена в
 рамках мероприятий ВЦП «Развитие современных механизмов и технологий
 дошкольного и общего образования», ВЦП «Качество образования» государственной
 программы Российской Федерации «Развитие образования».</t>
  </si>
  <si>
    <t>В 2020 -
 2024 годах добровольную независимой оценку квалификаций прошли не менее чем 10
 процентов педагогических работников на базе не менее 85 центров оценки профессионального мастерства и квалификаций педагогов,
 созданных во всех субъектах Российской Федерации, в том числе:
 в 2020 году в 19 субъектах Российской Федерации - не менее 19 центров оценки профессионального мастерства
 и квалификаций педагогов;
 в 2021 году в 34 субъектах Российской Федерации - не менее 34 центров оценки профессионального мастерства
 и квалификаций педагогов;
 в 2022 году в 49 субъектах Российской Федерации - не менее 49 центров оценки профессионального мастерства
 и квалификаций педагогов;
 в 2023 году в 65 субъектах Российской Федерации - не менее 65 центров оценки профессионального мастерства
 и квалификаций педагогов;
 в 2024 году во всех субъектах Российской Федерации созданы и функционируют
 не менее 85 центров оценки
 профессионального мастерства и квалификаций педагогов, что позволяет
 обеспечить соответствующую современным требованиям независимую процедуру
 подтверждения соответствия квалификации положениям профессионального стандарта
 или квалификационным требованиям.</t>
  </si>
  <si>
    <t>В 2019-2024 году за счет софинансирования из федерального бюджета во всех субъектах Российской Федерации создана сеть из не менее чем 255 центров непрерывного повышения профессионального мастерства педагогических работников и из не менее чем 85 центров оценки профессионального мастерства и квалификаций педагогов.Формируемая сетьцентров непрерывного повышения профессионального мастерства педагогических работниковобеспечивает:актуализацию профессиональных знаний, умений, навыков и компетенций педагогических работников;подготовку педагогических работников к использованию новых форм, методов и средств обучения и воспитания, в том числе разработанных и внедряемых в рамках национального проекта "Образование";подготовку работников по программам педагогической магистратуры, направленным на формирование и развитие исследовательской культуры обучающихся и педагогов, а также в форме профессиональных стажировок в рамках взаимодействия с предприятиями региона и другими регионами;внедрение в образовательный процесс современных технологий обучения и воспитания, в том числе проектных форм работы с обучающимися;повышение подготовки обучающихся в процессе реализации общеобразовательных программ и формирование компетенций с учетом задачи по улучшению результатов участия российских школьников в международных исследованиях качества образования (PISA, TIMSS, PIRLS).Значение количествацентров непрерывного повышения профессионального мастерства педагогических работниковицентров оценки профессионального мастерства и квалификаций педагоговподлежит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</si>
  <si>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В
 2021-2024 годах не менее 70 процентов педагогических работников в возрасте до
 35 лет вовлечены в различные формы поддержки и сопровождения, в том числе
 наставничества, что позволяет:
 создать условия для профессиональной и социально-бытовой адаптации
 педагогических работников; 
 привлечь и закрепить в общеобразовательных организациях лучших выпускников
 вузов;
 актуализировать и расширить полученные педагогическими работниками в процессе
 профессионального образования знания, умения и компетенции; 
 обеспечить баланс состава педагогических коллективов и преемственность традиций
 российской школы.
 В целях достижения результата будут реализованы программы выявления и поддержки
 молодежи, мотивированной к освоению педагогической профессии, внедрены
 механизмы повышения степени участия молодых людей (студентов) в обучении
 школьников (наставничество), а также обеспечено привлечение в сферу общего и
 дополнительного образования детей специалистов-практиков и студентов
 образовательных организаций высшего образования, в том числе не имеющих
 профильного педагогического образования.</t>
  </si>
  <si>
    <t>Обеспечено привлечение квалифицированных кадров</t>
  </si>
  <si>
    <t>В 2021-2024 годах не менее 50 процентов вожатых и педагогических работников в возрасте до 35 лет, вовлечённых в вожатскую деятельность, примут участие в программах поддержки и сопровождения, что позволит: создать условия для обмена опытом внутри профессиональной группы и регионального взаимодействия;сформировать образовательную программу, направленную на решение практических задач вожатых;привлечь внимание к вожатской деятельности и расширить понимание профессиональной категории. В целях достижения результата будут созданы образовательные программы, проведены региональные и конкурсные мероприятия по обмену опытом, выявлению лучших практик, сформирована система мотивации, для привлечения участников в вожатскую деятельность.</t>
  </si>
  <si>
    <t>Модернизация профессионального образования, в том числе посредством внедрения адаптивных, практико-ориентированных и гибких образовательных программ</t>
  </si>
  <si>
    <t>В соответствии с распоряжением Правительства
 Российской Федерации от 22апреля 2016г. № 750-р в 2019 году в г.Казани впервые на
 территории Российской Федерации пройдет Мировой чемпионат по профессиональному
 мастерству по стандартам Ворлдскиллс. 
 В чемпионате примут участие не менее 1630 участников
 соревнований и 1500 экспертов из не менее 76 стран мира, в том числе
 национальная сборная Российской Федерации. 
 Будут достигнуты целевые индикаторы плана основных
 мероприятий по подготовке и проведению мирового чемпионата по профессиональному
 мастерству по стандартам "Ворлдскиллс" в г.Казани в
 2019году, в том числе достижение 1млн.человек, привлеченных к
 движению "Ворлдскиллс" через развитие системы чемпионатов. Кроме
 того, проведение чемпионата позволит:
 - продемонстрировать конкурентоспособность среднего
 профессионального образования Российской Федерации; 
 - обеспечить сбор и распространение лучших мировых практик реализации
 образовательных программ среднего профессионального образования среди профессиональных образовательных организаций в
 Российской Федерации.</t>
  </si>
  <si>
    <t>В соответствии с Порядком проведения государственной
 итоговой аттестации по образовательным программам среднего профессионального
 образования, утвержденным Приказом Минобрнауки России от 16августа
 2013г. №968 к концу 2024года увеличено, по сравнению с
 2018годом, число обучающиеся, завершающих освоение основных
 профессиональных образовательных программ среднего профессионального
 образования и проходящих государственную итоговую аттестацию в виде
 демонстрационного экзамена до не менее чем 25 %.
 Реализация мероприятий федерального проекта будет
 направлена на формирование обновленных содержательных,
 организационно-методологических, материально-технических условий для
 прохождения аттестации с использованием механизма демонстрационного экзамена,
 что позволит поэтапно достичь следующих результатов охвата обучающихся
 накопительным итогом:
 2019 г. - 5% обучающихся;
 2020 г. - 6% обучающихся;
 2021 г. - 8% обучающихся;
 2022 г. - 13% обучающихся;
 2023 г. - 18% обучающихся;
 2024 г. - 25% обучающихся.</t>
  </si>
  <si>
    <t>В соответствии с поручением Президента Российской Федерации от
 6апреля 2018г. №Пр-580 (п.1в) Центр опережающей
 профессиональной подготовки (далее - ЦОПП) создается, в том числе на базе
 лучших профессиональных образовательных организаций (как самостоятельные
 организации или структурные подразделения существующих организаций, реализующих
 дополнительные образовательные программы для взрослых, программы
 профессиональной подготовки и переподготовки кадров, программы профессиональной
 ориентации), с предоставлением им возможности:
 - использования совместно с другими профессиональными образовательными
 организациями современного оборудования для подготовки, переподготовки и
 повышения квалификации граждан по наиболее востребованным и перспективным
 профессиям на уровне, соответствующем стандартам "Ворлдскиллс", в том
 числе по программе ускоренного обучения;
 - реализации программ повышения квалификации педагогов и мастеров
 производственного обучения профессиональных образовательных организаций;
 - проведения демонстрационного экзамена по стандартам
 "Ворлдскиллс" для лиц, освоивших образовательные программы среднего
 профессионального образования;
 - осуществления мероприятий по профессиональной ориентации лиц, обучающихся
 в общеобразовательных организациях, а также обучения их первой профессии.
 В целях эффективности реализации мероприятий Минпросвещения России в первой
 половине 2019 года будут сформированы методические рекомендации, определяющие
 основные принципы создания и функционирования центров опережающей
 профессиональной подготовки.
 К концу 2024 года во всех субъектах Российской Федерации за счет средств
 федеральной поддержки планируется создать 100 центров опережающей подготовки
 (расходы на формирование современных условий труда для сотрудников
 ЦОПП,в том числе средства на закупку рабочих мест для сотрудников
 ЦОПП, оборудования для реализации мероприятий с участием общеобразовательных
 организаций и профессиональных образовательных организаций, а также на
 расходные материалы для обеспечения их деятельности), что позволит:
 - выстроить систему эффективной подготовки и дополнительного
 профессионального образования по профессиям, в том числе для сдачи
 демонстрационного экзамена с учетом опыта Союза Ворлдскиллс Россия;
 - обеспечить подготовку квалифицированных рабочих, служащих и специалистов
 среднего звена в соответствии с современными стандартами и передовыми
 технологиями, в том числе стандартами Ворлдскиллс Россия;
 - оказать влияние на рост конкурентоспособности среднего профессионального
 образования Российской Федерации на международном уровне.
 Внедрение программ модернизации образовательных организаций, реализующих
 образовательные программы среднего профессионального образования, в целях
 ликвидации дефицита квалифицированных рабочих кадров, позволит:
 - обеспечить качество среднего профессионального образования на уровне,
 сопоставимом с лучшими мировыми практиками, и при этом ответить на вызовы
 текущих и прогнозируемых кадровых дефицитов;
 - с учетом стратегий регионального развития реализовать меры по развитию
 инфраструктуры, кадрового потенциала, созданию современных условий для
 реализации профессиональных образовательных программ.Значение количества ЦОППподлежит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</si>
  <si>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Создание мастерских, оснащенных
 современной материально-технической базой по одной из компетенций, осуществляется во исполнение поручения Президента
 Российской Федерации по итогам встречи с членами национальной сборной России по
 профессиональному мастерству от 21сентября 2015г. №Пр-1921
 (пункт 1 "д") по следующим направлениям:
 - промышленные и инженерные технологии;
 - информационные и коммуникационные технологии; 
 - строительство;
 - обслуживание транспорта и логистика; 
 - искусство и дизайн; 
 - сфера услуг.
 В целях эффективности реализации мероприятий
 Минпросвещения России в первой половине 2019года будут определены организационно-правовой, финансово-экономической и методологической основы, определяющие основные принципы создания и функционирования
 мастерских.
 На основании экспертных оценок востребованности групп
 профессий и специальностей, с учетом мониторинга качества подготовки кадров в
 соответствии с приоритетами развития российской экономики, определена следующая
 потребность в количестве мастерских по группам специальностей:
 - промышленные и инженерные технологии (специализация:
 "Машиностроение, управление сложными техническими системами, обработка
 материалов") - 300 мастерских;
 - информационные и коммуникационные технологии -
 400мастерских;
 - строительство - 600 мастерских;
 - обслуживание транспорта и логистика -
 600мастерских;
 - искусство, дизайн и сфера услуг - 500мастерских;
 - промышленные и инженерные технологии (специализация:
 "Автоматизация, радиотехника и электроника") - 200мастерских;
 - сельское хозяйство - 400 мастерских;
 - социальная сфера - 2000 мастерских.
 Таким образом, к 2024 году планируется создание не
 менее 5000мастерских, оснащенных современной материально-технической базой по одной из
 компетенций (в том числе создание
 мастерских предполагает расходы на приобретение средств обучения, средств
 вычислительной техники и лицензионного программного обеспечения, интерактивного
 и презентационного оборудования, мебели и расходных материалов), что
 позволит:
 - выстроить
 систему эффективной подготовки и дополнительного профессионального образования
 по профессиям, в том числе для сдачи демонстрационного экзамена с учетом опыта
 Союза Ворлдскиллс Россия;
 - обеспечить подготовку квалифицированных рабочих,
 служащих и специалистов среднего звена в соответствии с современными
 стандартами и передовыми технологиями, в том числе стандартами Ворлдскиллс
 Россия;
 - оказать влияние на рост конкурентоспособности
 среднего профессионального образования Российской Федерации на международном
 уровне.Значение количествамастерских,оснащенных современной материально-технической базой,подлежит
 ежегодному уточнению по итогам проведенияотборов напредоставлениесубсидии из федерального бюджета бюджетам субъектов Российской Федерации
 на финансовое обеспечение соответствующих мероприятий.</t>
  </si>
  <si>
    <t>Разработанные к концу 2019 года путем предварительной апробации методические
 рекомендации (целевая модель)по механизмам вовлечения
 общественно-деловыхобъединенийи участия представителей
 работодателей в принятии решений по вопросам управления развитием
 образовательных организаций, в том числе через представительство в
 коллегиальных органах управления развитием профессиональной образовательной
 организации и участие в обновлении образовательных программ,позволит:
 - усовершенствовать организационные, финансово-экономические и методические
 механизмы управления развитием профессиональными образовательными
 организациями;
 - обновить образовательные программы среднего профессионального образования
 в части включения практикоориентированных компонентов;
 - повысить уровень среднего профессионального образования;
 - повысить конкурентоспособность среднего профессионального образования.</t>
  </si>
  <si>
    <t>Разработка к концу 2019 года методологии наставничества в
 системесреднего профессионального образования, в том числе посредством
 привлечения к этой деятельности специалистов-практиковпозволит:
 - сформировать организационно-методическую основу для внедрения и
 последующего развития механизмов наставничества в системесреднего
 профессионального образования;
 - обеспечить привлечение в роли наставников обучающихся по образовательным
 программам среднего профессионального образования работников предприятий и организаций,
 в том числе из реального сектора экономики;
 - обучающимся получить необходимые знания, а также на реальном примере
 специалистов-практиков сформировать личностные и профессиональные компетенции.</t>
  </si>
  <si>
    <t>Актуализацию перечня профессий рабочих, должностей служащих,
 покоторым осуществляется профессиональное обучение и
 перечнейпрофессий и специальностейсреднего
 профессионального образования, на основе профессиональных стандартов, а
 такжефедеральных государственных образовательныхстандартов
 среднего профессионального образования, планируется осуществлять поэтапно с
 предварительной апробацией в ряде субъектов Российской Федерации. Кроме того,
 планируется обеспечить появление профилей цифровых компетенций и
 соответствующих программ среднего профессионального образования с целью
 ускоренной подготовки кадров для цифровой экономики. Поэтапно планируется также
 внедрение нормативов финансового обеспечения обучения по программам среднего
 профессионального образования.
 Ожидаемыми результатами реализации указанных мероприятий станут:
 - функционированиесистемы подготовки кадров в соответствии с
 запросами реального сектора экономики, социальной сферы, сферы услуг, малого
 предпринимательства и др.;
 - внедрениесовременных методик и программ преподавания по
 общеобразовательным дисциплинам в системе среднего профессионального
 образования, учитывающих образовательные потребности обучающихся
 организацийсреднего профессионального образования;
 - получение обучающимися актуальных знаний, а также формирование
 необходимых личностных и профессиональных качеств;
 - оказание благоприятного влияния на социально-экономическое развитие
 соответствующих субъектов Российской Федерации;
 - повышение конкурентоспособности профессионального образования Российской
 Федерации на международном уровне.</t>
  </si>
  <si>
    <t>Начиная с 2020 года Минпросвещения России ежегодно предоставляет субсидии
 на иные цели Всероссийскому детскому центру "Смена" на
 развитиеинфраструктуры Всероссийского учебно-тренировочного центра
 профессионального мастерства и популяризации рабочих профессий, что
 позволит уже к 30сентября 2021г. создать условия для:
 - обеспечения охвата не менее 4 тыс. человек ежегодно образовательными
 программами дополнительного образования, реализуемыми на базе Центра;
 -функционирования круглогодичной современной высокооснащенной базы по
 формированию уобучающихся необходимых общих и профессиональных
 компетенций;
 - для подготовки национальной сборной команды Российской Федерации к
 участию в международных соревнованиях.</t>
  </si>
  <si>
    <t>Внедрение к концу 2023года во всех субъектах Российской Федерации
 основных программ профессионального обучения по наиболее востребованным и перспективным
 профессиям на уровне, соответствующем стандартам Ворлдскиллс,позволит:
 - создатьсистему подготовки кадров, в том числе обеспечивающую
 непрерывное получение гражданами профессиональных знаний;
 - обновитьосновные программы профессионального обучения в
 соответствии с современными и перспективными направлениями технического и
 социально-экономического развития;
 - сформировать профессиональный кадровый потенциал, отвечающий вызовам
 современности и будущего развития системы профессионального образования;
 - оказать благоприятное влияние на социально-экономическое развитие
 соответствующих субъектов Российской Федерации;
 - повысить конкурентоспособность профессионального образования Российской
 Федерации на международном уровне.</t>
  </si>
  <si>
    <t>Внедрение с 1июля 2020г. апробированной методологии
 наставничества в системесреднего профессионального
 образованияпозволит к концу 2024года вовлечь в различные формы
 наставничества не менее 70% обучающихся образовательныхорганизаций,
 реализующих программы среднего профессионального
 образования.Реализованный комплекс мер позволит:
 - обеспечить привлечение в роли наставников обучающихся по образовательным
 программам среднего профессионального образования работников предприятий и
 организаций, в том числе из реального сектора экономики;
 - обучающимся получить необходимые знания, а также на реальном примере
 специалистов-практиков сформировать личностные и профессиональные компетенции.</t>
  </si>
  <si>
    <t>К концу 2024 года не менее 35тыс. преподавателей (мастеров
 производственного обучения) прошли повышение квалификации по программам,
 основанным на опыте Союза Ворлдскиллс Россия. Кроме того, не менее 10тыс. из них сертифицированы
 вкачестве экспертов Ворлдскиллс (2019 г. - 0,8 тыс. человек; 2020 г. - 2 тыс. человек; 2021 г. - 4 тыс. человек; 2022 г. - 6 тыс. человек; 2023 г. - 8 тыс. человек; 2024 г. - 10 тыс. человек нарастающим итогом).
 Проведение данных мероприятий позволит:
 - создать условия для стимулирования роста профессионального мастерства
 преподавателей (мастеров производственного обучения);
 - сформировать высокоэффективный кадровый потенциал преподавателей
 (мастеров производственного обучения);
 - оказать влияние на рост конкурентоспособности профессионального
 образования Российской Федерации на международном уровне;
 - обеспечить формирование пула экспертов, сертифицированных для проведения
 демонстрационных экзаменов и подготовки команд к чемпионатам по
 профессиональному мастерству.</t>
  </si>
  <si>
    <t>Ежегодное проведение конкурса профессионального мастерства среди инвалидов
 и людей с ограниченными возможностями
 здоровья"Абилимпикс" позволит:
 - сформировать скоординированную систему межведомственного взаимодействия
 по развитию инклюзивного профессионального образования;
 - оценить качество профессиональной подготовки инвалидов и людей сограниченными
 возможностями здоровья;
 - обновить содержание адаптивных образовательных программ через развитие
 ресурсных учебно-методических центров;
 - повысить мотивацию к обучению, саморазвитию и трудоустройству у инвалидов
 и людей с ограниченными возможностями здоровья;
 - подготовить национальную сборную для участия в международныхи национальных чемпионатах профессионального мастерства для людей
 синвалидностью.</t>
  </si>
  <si>
    <t>С целью достижения показателя, утвержденного Указом
 Президента Российской Федерации от 7мая 2012г. №599 "О
 мерах по реализации государственной политики в области образования и
 науки", по обеспечению вхождения к 2020году не менее пяти российских
 университетов в первую сотню ведущих мировых университетов в перспективе до
 2020года включительно в соответствии с постановлением Правительства
 Российской Федерации от 16марта 2013года №211 "О мерах
 государственной поддержки ведущих университетов Российской Федерации в целях
 повышения их конкурентоспособности среди ведущих мировых научно-образовательных
 центров" будет предоставляться государственная поддержка 21 университету,
 отобранному по результатам конкурсов в 2013 и 2015годах. В 2019году
 по итогам анализа результативности реализации университетами "дорожных
 карт" по повышению конкурентоспособности среди ведущих мировых
 научно-образовательных центров за 2018 год и с учетом решений совета по повышению международной конкурентоспособности будет проведена ротация университетов по объемам финансирования
 реализации "дорожных карт" в 2020году. Ротация обеспечит
 концентрацию ресурсов на вузах, наиболее успешных в достижении указанного
 целевого ориентира, а также повышение эффективности расходования средств
 федерального бюджета.
 Достижение цели по обеспечению глобальной
 конкурентоспособности российского образования в соответствии с Указом
 Президента Российской Федерации от 7 мая 2018г. № 204 "О
 национальных целях и стратегических задачах развития Российской Федерации на
 период до 2024 года" обуславливает необходимость дальнейшей реализации мер
 государственной поддержки российских университетов в целях повышения их
 международной конкурентоспособности.
 В течение 2020 года будет
 обновлена нормативная правовая база, регламентирующая предоставление такой
 государственной поддержки, включая условия и критерии отбора университетов, а
 также состав совета по повышению международной конкурентоспособности.
 Также в 2020 году будет проведен конкурсный отбор в
 целях предоставления, начиная с 2021года, государственной поддержки
 университетам на реализацию программ развития ("дорожных карт") по
 повышению международной конкурентоспособности и обеспечению в 2024году 10
 места России в мире по присутствию университетов в топ-500 глобальных рейтингов
 университетов. Расширение рейтингового диапазона позволит большему числу
 российских университетов (не менее 30), имеющих
 ресурс развития, нацеленных на повышение международной конкурентоспособности и уже попавших в публикуемую часть глобальных рейтингов без
 целевой государственной поддержки, получить
 серьезный финансовый ресурс на закрепление своих достижений и дальнейшее
 развитие, что в целом должно обеспечить усиление и устойчивость позиций России
 в мировом научно-образовательном пространстве.
 Объем государственной финансовой поддержки
 университетов будет определяться, исходя из объема средств федерального
 бюджета, которые предоставлялись на поддержку программ и проектов развития
 университетов в 2009-2020годах.</t>
  </si>
  <si>
    <t>Предусмотрено установление системы показателей,
 достижение которых должны обеспечить университеты, ориентированные на мировые
 стандарты развития и получающие государственную поддержку, начиная с
 2021года, с целью продвижения в глобальных рейтингах.
 Достижение показателей будет обеспечиваться в рамках
 мероприятий "дорожных карт"
 университетов по повышению глобальной конкурентоспособности, направленных
 прежде всего на реализацию экспортно ориентированных и наукоемких
 образовательных программ, внедрение новых образовательных форматов и
 технологий, наращивание кадрового потенциала за счет омоложения кадрового
 состава, развития российской и международной академической мобильности
 (привлечения зарубежных и российских ученых - лидеров в исследовательских
 областях, организации стажировок научно-педагогических работников в зарубежных
 и российских университетах и исследовательских центрах), повышения
 эффективности подготовки научно-педагогических кадров в аспирантуре.
 Установленные значения показателей должны обеспечить
 вклад каждого университета в достижение
 российской системой высшего образования в 2024 году 10 места в мире по
 присутствию университетов в топ-500 глобальных рейтингов университетов.
 Комплексная оценка динамики роста глобальной конкурентоспособности
 российской системы высшего образования будет обеспечиваться в рамках ежегодного
 мониторинга эффективности реализации "дорожных карт" университетов, а
 также подведения итогов их реализации на ежегодных заседаниях совета по
 повышению международной конкурентоспособности.</t>
  </si>
  <si>
    <t>В 2020 году будет проведена комплексная оценка
 эффективности реализации утвержденных сроком на 10 лет программ развития
 университетов, в отношении которых установлена категория "национальный
 исследовательский университет" по итогам конкурсных отборов 2009 и 2010
 годов. По итогам комплексной оценки Правительством Российской Федерации будут
 приняты решения по механизму регулярного обновления состава указанных
 университетов с целью повышения эффективности функционирования сети
 образовательных организаций высшего образования и глобальной
 конкурентоспособности российской системы высшего образования за счет обеспечения
 конкурентных условий получения университетами нормативно установленных
 преференций (расчет текущего финансирования деятельности с учетом повышающих
 коэффициентов в составе базовых нормативов затрат на оказание государственных
 услуг по реализации образовательных программ; право самостоятельно
 разрабатывать и утверждать образовательные стандарты по всем уровням высшего
 образования). Механизм присвоения и подтверждения категории "национальный исследовательский университет" будет
 предусматривать набор требований, в том числе имеющих количественные
 характеристики, которым должны отвечать университеты, имеющие указанную
 категорию или претендующие на ее получение. Существенное
 увеличение объемов финансового обеспечения текущей деятельности позволит университетам,
 имеющим статус "национальных исследовательских университетов",
 направить дополнительные ресурсы прежде всего на развитие кадрового потенциала.</t>
  </si>
  <si>
    <t>В 2019году на основе анализа результатов
 реализации приоритетного проекта "Вузы как центры пространства создания
 инноваций" в части эффективности государственной поддержки региональных
 университетов будет определен набор требований (в
 том числе имеющих количественные характеристики) к оценке потенциала
 университетов, предусматривающий
 обеспечение высокого качества подготовки кадров для базовых отраслей
 экономики и социальной сферы субъектов Российской Федерации, активное участие
 университетов в реализации стратегической повестки развития регионов и
 включающий параметры образовательной,
 научно-исследовательской и инновационной деятельности, финансовой устойчивости,
 кадрового потенциала. На основе указанного набора требований будет проведена
 комплексная оценка потенциала университетов, по результатам которой будет сформирован
 перечень университетов, имеющих право претендовать на получение государственной
 поддержки.</t>
  </si>
  <si>
    <t>В
 2020 году будет проведен конкурсный отбор с целью предоставления
 государственной поддержки на реализацию программ и проектов развития
 университетов, разработанных совместно с органами государственной власти
 субъектов Российской Федерации и обеспечивающих подготовку кадров для базовых
 отраслей экономики и социальной сферы. Ключевыми условиями предоставления
 государственной поддержки будет являться модернизация образовательной
 деятельности, прежде всего, в части разработки и реализации гибких
 образовательных программ, обеспечивающих мобильность выпускника на рынке труда
 за счет качества сформированности компетенций в области цифровой экономики,
 предпринимательства, командной и проектной работы, здоровьесбережения, и адаптивных,
 практико-ориентированных образовательных программ, которые обеспечат получение
 студентами профессиональных компетенций,
 отвечающих актуальным требования рынка труда и потребностям
 работодателей; формирование системы непрерывного профессионального роста
 научно-педагогических работников в партнерстве с организациями реального
 сектора экономики; включенность в стратегическую повестку
 научно-технологического развития.
 Комплексная
 оценка эффективности подготовки кадров университетами для базовых отраслей
 экономики и социальной сферы субъектов Российской Федерации будет
 обеспечиваться в рамках ежегодного мониторинга реализации программ и проектов
 развития университетов, а также законодательно установленного ежегодного
 мониторинга деятельности образовательных организаций высшего образования.</t>
  </si>
  <si>
    <t>В целях повышения качества реализуемых образовательных
 программ высшего образования, мотивации научно-педагогических работников к
 разработке новых образовательных программ (их отдельных частей), не имеющих
 аналогов в российской системе высшего образования и учитывающих результаты
 передовых научных исследований и разработок, а также в целях кадрового
 обеспечения формирования и развития высокотехнологичных секторов российской
 экономики, начиная с 2019года, ежегодно будет предоставляться грантовая
 поддержка на разработку, реализацию и тиражирование экспортно ориентированных,
 междисциплинарных образовательных программ высшего образования и их отдельных
 частей (рабочих дисциплин, модулей, курсов и т.д.) по приоритетным направлениям подготовки кадров,
 специальностям высшего образования с учетом запросов партнеров реального сектора
 экономики и мировых научно-технологических трендов, а также гибких
 образовательных программ и их отдельных частей, направленных на
 формирование компетенций в области
 цифровой экономики, предпринимательства, командной и проектной работы,
 здоровьесбережения.
 Гранты будут предоставляться на конкурсной основе на
 период до двух лет как отдельному разработчику, так и группе преподавателей. 
 Обязательным условием грантовой поддержки будет
 являться разработка онлайн-курсов и их размещение как на глобальных образовательных
 платформах, так и на российских образовательных платформах, интегрированных с
 государственной информационной системой "Современная цифровая
 образовательная среда", с целью привлечения иностранных слушателей и
 обеспечения максимальной доступности на территории Российской Федерации
 разработанного образовательного контента. Тиражирование разработанных образовательных
 программ (их отдельных частей) будет осуществляться в том числе через повышение
 квалификации и стажировку научно-педагогических работников университетов, на
 базе которых будет в дальнейшем осуществляться реализация образовательных
 программ (их отдельных частей). Будет проводиться ежегодная оценка
 эффективности тиражирования разработанных образовательных программ (их
 отдельных частей).</t>
  </si>
  <si>
    <t>В 2020году будет
 создана и введена в эксплуатацию государственная информационная система
 "Современная цифровая образовательная среда" (далее - система) на
 базе информационного ресурса (портала), обеспечивающего доступ по принципу
 "одного окна" к онлайн-курсам, реализуемым различными
 образовательными платформами, с целью широкого и качественного внедрения
 онлайн-технологий в образовательный процесс, расширения возможностей реализации
 персональных образовательных траекторий,
 обеспечения доступности образовательного онлайн-контента.
 Мероприятия по развитию
 системы в перспективе до 2024года предусматривают: интеграцию системы с
 другими государственными информационными системами, внедрение сервисных решений
 в области повышения качества онлайн-курсов, оценки результатов освоения
 онлайн-курсов, взаимодействия участников цифровой образовательной среды.</t>
  </si>
  <si>
    <t>В 2019году на базе
 информационного ресурса (портала) "Современная цифровая образовательная среда",
 обеспечивающего доступ по принципу "одного окна" к онлайн-курсам,
 реализуемым различными образовательными платформами, будет внедрено типовое
 техническое решение по формированию цифровых индивидуальных портфолио
 обучающихся с целью обеспечения фиксации образовательных достижений,
 профессиональных компетенций, а также позиционирования на рынке труда за счет
 обеспечения доступа работодателей к цифровым портфолио обучающихся.</t>
  </si>
  <si>
    <t>Будет обеспечено развитие сетевого взаимодействия
 университетов, виртуальной академической мобильности обучающихся за счет
 широкого внедрения онлайн-технологий. Обучающиеся вне зависимости от места
 обучения и проживания будут иметь возможность доступа к лучшему
 образовательному контенту страны, наиболее мотивированные обучающиеся
 используют возможность проектирования персональных образовательных траекторий.</t>
  </si>
  <si>
    <t>Будет обеспечено привлечение научно-педагогических
 работников университетов, представленных в глобальных рейтингах, к реализации
 образовательных программ высшего образования в региональных университетах с
 целью трансляции лучших образовательных и исследовательских практик, повышению
 качества образования, развитию сетевого взаимодействия университетов.</t>
  </si>
  <si>
    <t>В 2022году будет запущена модернизированная
 система мониторинга трудоустройства выпускников организаций
 (представленная на сайте graduate.edu.ru), осуществляющих образовательную
 деятельность по образовательным программам высшего образования, учитывающая специфику регионального рынка труда,
 мнение работодателей о качестве подготовки выпускников. Это повысит
 эффективность прогнозирования кадровой потребности, планирования объемов и
 структуры контрольных цифр приема. С учетом результатов мониторинга трудоустройства
 выпускников планируется внесение изменений в правила
 установления организациям, осуществляющим образовательную деятельность,
 контрольных цифр приема по направлениям подготовки и специальностям высшего
 образования, в части учета результатов трудоустройства выпускников в разрезе
 направлений подготовки, региональных рынков труда, отраслевой структуры
 экономики с учетом сектора самозанятости.</t>
  </si>
  <si>
    <t>Начиная с 2019года, планируется комплексно обновить нормативную
 правовую базу, регулирующую образовательные отношения в сфере высшего
 образования, и обеспечить информационно-консультационную поддержку
 ее применения; обеспечить ежегодное проведение мониторинга деятельности
 образовательных организаций высшего образования с целью принятия управленческих
 решений на основе данных мониторинга; обеспечить условия повышения
 эффективности управления образовательными организациями высшего образования.
 К2024 году будут обеспечены общесистемные условия повышения глобальной конкурентоспособности
 российского высшего образования.</t>
  </si>
  <si>
    <t>Проведена подготовка, проведение и обеспечено участие российской сборной в чемпионатах по профессиональному мастерству, проводимых международной организацией "WorldSkills Inter0tio0l"</t>
  </si>
  <si>
    <t>Реализован ежегодный комплекс мероприятий, направленных на подготовку, проведение и обеспечение участия российской сборной в чемпионатах по профессиональному мастерству, проводимых международной организацией "WorldSkills Inter0tio0l", который ежегодно обеспечивает позицию Российской Федерации в международном соревновательном рейтинге стран, готовящих выпускников (молодых специалистов) по современным требованиям в совокупном балльном исчислении не ниже 3.</t>
  </si>
  <si>
    <t>В чемпионате примут участие не менее 1000 человек, в том числе с приглашением иностранных команд. Индикаторы плана основных мероприятий по подготовке и проведению мирового чемпионата по профессиональному мастерству по стандартам "Ворлдскиллс" в г.Санкт-Петербурге в 2022году:- продемонстрировать конкурентоспособность среднего профессионального образования Российской Федерации; - обеспечить сбор и распространение лучших мировых практик реализации образовательных программ среднего профессионального образования среди профессиональных образовательных организаций в Российской Федерации.</t>
  </si>
  <si>
    <t>Формирование системы непрерывного обновления работающими гражданами своих профессиональных знаний и приобретения ими новых профессиональных навыков, включая овладение компетенциями в области цифровой экономики всеми желающими</t>
  </si>
  <si>
    <t>Интеграционная
 платформа непрерывного образования и набор сервисов, которые будут введены в
 эксплуатацию в 2020 году, являются основным инструментом сопровождения и
 поддержки системы непрерывного обновления работающими гражданами своих
 профессиональных знаний и приобретения ими новых профессиональных навыков. 
 Интеграционная платформа непрерывного образования предусматривает навигационный
 функционал в целях реализации оптимальных для работающих граждан (в том числе
 инвалидов) образовательных маршрутов, позволяющих постоянно обновлять
 профессиональные навыки, в том числе востребованные на высокотехнологичном
 рынке труда, а также совершенствовать различные виды повседневной грамотности,
 повышающие качество жизни взрослого населения. 
 Интеграционная платформа непрерывного образования будет являться навигатором в
 сфере программ профессионального обучения и дополнительных образовательных
 программ, организаций, осуществляющих образовательную деятельность,
 инновационных форм обучения в оффлайн и онлайн форматах. Платформа будет
 включать реестр программ непрерывного образования.
 Предусмотрено создание сервисов: обратной связи, обеспечивающих оценку наиболее
 качественных и востребованных программ и организаций и их рейтингование;
 формирования личного профиля пользователя в части профессиональных навыков и
 знаний, полученных в процессе непрерывного образования; взаимосвязи с работодателями
 (поиск сотрудника по набору профессиональных навыков) и другими сервисами по
 трудоустройству; обеспечивающих связь предлагаемых программ непрерывного
 образования с потребностями работодателей в части профессиональных знаний и
 профессиональных навыков сотрудников, требуемых для конкретных отраслей и
 регионов; прохождения по желанию пользователя индивидуального тестирования для
 формирования персональных рекомендаций о его особенностях, планирования
 профессиональной карьеры, выбора образовательной программы и формы обучения.
 Кроме того, будет разработан сервис для регулярного мониторинга базовых навыков
 и ключевых профессиональных компетенций взрослого населения.
 Интеграционная платформа непрерывного образования обеспечит доступность
 информации о качественном дополнительном образовании для взрослых, позволит
 повысить эффективность трудоустройства (включая самозанятость) и успешность
 внутри- и межрегиональной трудовой
 мобильности.</t>
  </si>
  <si>
    <t>Разработана и внедрена система грантовой поддержки образовательных организаций высшего образования с целью формирования и внедрения современных программ непрерывного образования (дополнительных образовательных программ и программ профессионального обучения), обеспечивающих личностный рост, расширение и обновление профессиональных знаний граждан и приобретения ими новых профессиональных навыков в соответствии с быстро меняющимися технологиями и условиями.</t>
  </si>
  <si>
    <t>В 2019 году будет
 разработана и внедрена система грантовой поддержки образовательных организаций
 высшего образования для обеспечения возможностей обновления работающими
 гражданами своих профессиональных навыков в соответствии с быстро меняющимися
 технологиями в интересах развития региональной экономики, увеличения
 инвестиционной привлекательности территорий.
 Грантовая поддержка
 образовательным организациям высшего образования выделяется на конкурсной
 основе, предусматривает создание условий для расширения системы непрерывного
 образования, включая внедрение комплекса программ "полного цикла" по
 направлению (профилю) образования (в том числе программ профессионального
 обучения и дополнительных образовательных программ). Образовательные
 организации высшего образования, получившие грантовую поддержку, будут
 обеспечивать увеличение не менее чем вдвое численности обучающихся по
 современным программам непрерывного образования в период получения грантовой
 поддержки, а также не менее чем вдвое в течение трех лет после завершения
 грантовой поддержки.
 Объем грантовой поддержки,
 период ее предоставления (не более 2 лет) и условия получения зависят от
 целевой аудитории привлекаемых слушателей, степени проработки содержания
 программ, участия в образовательном процессе в качестве преподавателей
 специалистов-практиков, подтверждения востребованности направлений обучения, в
 том числе для региональной экономики. Грантовая поддержка университетов
 реализуется на условиях софинансирования.
 В рамках конкурсного отбора
 будут установлены дополнительные требования к доле образовательных программ,
 прошедших независимую экспертизу работодателей, и к условиям для обучения
 инвалидов. 
 При разработке критериев
 предоставления грантовой поддержки с целью расширения спектра программ
 непрерывного образования для граждан будет предусмотрен учет возможностей
 привлечения ресурсов подразделений вузов, реализующих программы СПО, а также
 ресурсов сетевого взаимодействия (программ в сетевой форме) вуза с организациями
 СПО и организациями ДПО, демонстрирующими лучшие практики востребованных
 направлений обучения (по рекомендации работодателей). 
 Конкурсный отбор
 образовательных организаций высшего образования для предоставления грантовой
 поддержки будет проводиться ежегодно.</t>
  </si>
  <si>
    <t>Будет организован конкурсный
 отбор дополнительных профессиональных программ повышения квалификации
 научно-педагогических работников, в том числе организаторов системы
 непрерывного образования, и работников организаций-работодателей. Программы для
 конкурсного отбора могут представлять любые организации, осуществляющие
 образовательную деятельность. Организациям, программы которых будут отобраны
 для реализации, будет выделено финансовое обеспечение на подготовку научно-педагогических
 работников, в том числе организаторов системы непрерывного образования, и
 работников организаций-работодателей.
 Обучение
 научно-педагогических работников будет предусматривать овладение современными
 образовательными технологиями обучения взрослых, изучение
 возрастно-психологических и индивидуально-психологических особенностей граждан,
 в том числе инвалидов, а также стажировки на высокотехнологичных производствах,
 в организациях секторов экономики, значимых для региона.
 Обучение работников
 организаций-работодателей будет направлено на овладение современными
 образовательными технологиями обучения взрослых, изучение
 возрастно-психологических и индивидуально-психологических особенностей граждан,
 в том числе инвалидов, а также на формирование компетенций наставников для
 молодых специалистов. 
 Будет предусмотрена отдельная подготовка
 научно-педагогических работников и работников организаций-работодателей по
 созданию, реализации и использованию онлайн-курсов, а также реализации программ
 в целях овладения компетенциями в области цифровой экономики (в рамках
 федерального проекта "Молодые профессионалы (Глобальная
 конкурентоспособность профессионального образования)").
 Научно-педагогические работники и работники организаций-работодателей,
 подготовленные к реализации современных программ непрерывного образования,
 будут в дальнейшем принимать участие в развитии системы непрерывного обновления
 гражданами своих профессиональных навыков, в том числе для достижения
 результатов, предусмотренных п. 1.1 и 1.2.</t>
  </si>
  <si>
    <t>Увеличение
 доли научно-педагогических работников в реализации программ непрерывного
 образования (дополнительных образовательных программ и программ
 профессионального обучения) будет обеспечивать увеличение количества и
 разнообразия программ для населения. 
 Будет предложен механизм стимулирования научно-педагогических работников к
 участию в реализации программ непрерывного образования, в том числе через
 включение соответствующих условий в трудовые договоры. Будут разработаны
 методические рекомендации по стимулированию научно-педагогических работников
 образовательных организаций высшего образования к реализации программ
 непрерывного образования. 
 Показатель участия научно-педагогических работников в реализации программ
 непрерывного образования будет включен в показатели мониторинга деятельности
 образовательных организаций высшего образования.
 Для расширения форматов реализации системы непрерывного обновления гражданами
 профессиональных навыков и знаний будет сформирована организационно-правовая
 модель, обеспечивающая для граждан возможность изучения в университетах
 отдельных дисциплин (модулей) с последующим прохождением аттестации.</t>
  </si>
  <si>
    <t>Расширение
 охвата граждан непрерывным образованием на базе образовательных организаций
 высшего образования достигается реализацией всего комплекса мероприятий
 федерального проекта. 
 С 2019 года ежегодно будет осуществляться грантовая поддержка образовательных
 организаций высшего образования с целью формирования и внедрения современных
 программ непрерывного образования (дополнительных образовательных программ и
 программ профессионального обучения), обеспечивающих личностный рост,
 расширение и обновление профессиональных знаний граждан и приобретения ими
 новых профессиональных навыков в соответствии с быстро меняющимися технологиями
 и условиями.
 С 2020 года будет функционировать Платформа и набор сервисов, позволяющие
 гражданам формировать индивидуальные образовательные траектории для
 непрерывного обновления своих профессиональных знаний и приобретения ими новых
 профессиональных навыков. Сервисы Платформы будут использоваться, в том числе,
 для проведения регулярного мониторинга базовых навыков и ключевых компетенций
 граждан в целях обеспечения систематической актуализации программ непрерывного
 образования.
 Предусмотрены мероприятия по популяризации среди населения и работодателей
 дополнительного профессионального образования и дополнительного образования
 взрослых, в том числе в целях овладения компетенциями в области цифровой
 экономики. 
 Расширение вовлеченности граждан в систему непрерывного образования будет
 осуществляться за счет разработки программ для граждан предпенсионного и
 пенсионного возраста, а также для трудовых мигрантов, осуществляющих свою
 деятельность на территории Российской Федерации.
 Для стимулирования граждан к непрерывному обновлению профессиональных навыков и
 знания предусматривается разработка нормативных правовых актов,
 регламентирующих процедуры признания результатов самообразования, в том числе
 образования на рабочем месте, а также иных обучающих мероприятий по обновлению
 профессиональных знаний и навыков, не относящихся к образовательной
 деятельности в соответствии с пунктом 17 статьи 2 Федерального закона "Об
 образовании в Российской Федерации" (далее - "неформальное
 образование") а также их зачета в образовательных программах среднего
 профессионального и высшего образования.
 Для расширения охвата граждан непрерывным образованием также может быть
 использован сертификат на услуги в социальной сфере.
 В рамках программ и проектов развития университетов, получающих государственную
 поддержку, предусмотрена разработка образовательных модулей программ непрерывного
 образования для широкого использования в образовательных организациях высшего
 образования.
 Систематизация и распространение эффективных практик организации систем
 непрерывного образования образовательными организациями высшего образования
 будут реализованы посредством разработки методических рекомендаций по созданию
 типовых моделей центров непрерывного обновления компетенций.
 Мониторинг развития систем непрерывного образования в образовательных
 организациях высшего образования будет обеспечен включением соответствующих
 показателей в показатели мониторинга деятельности образовательных организаций
 высшего образования в целях дальнейшего принятия управленческих решений.
 Кроме того, будет внедрен мониторинг системы непрерывного обновления
 работающими гражданами профессиональных навыков и знаний. В мониторинг будут
 включены результаты реализации мероприятий федеральных проектов национальных
 проектов "Образование", "Наука",
 "Здравоохранение", "Цифровая экономика", "Повышение
 производительности труда", программ, направленных на обновление гражданами
 профессиональных компетенций.</t>
  </si>
  <si>
    <t>​В рамках результата будет реализована кампания, направленная на информационное обеспечение результатов федерального проекта "Новые возможности для каждого".В рамках информационной кампании будет обеспечено привлечение пользователейинтеграционной платформы непрерывного образования, а также популяризация среди населения и работодателей дополнительных профессиональных программ и программ дополнительного образования взрослых, в том числе в целях овладения компетенциями в области цифровой экономики.</t>
  </si>
  <si>
    <t>Ежегодно в рамках проекта дискуссионных студенческих
 клубов "Диалог на равных" проводится не менее 1 000 встреч во всех
 субъектах Российской Федерации, с участием не менее 
 500 спикеров, в которых принимает участие не менее 
 200 000 студентов образовательных организаций высшего
 и среднего специального образования. Проведено не менее 
 300 прямых трансляций в сети "Интернет"
 (ежегодно), создано не менее 100 видеороликов (ежегодно) для размещения в сети
 "Интернет". Общий охват интернет-аудитории проектом составит не менее
 5000000 человек ежегодно.
 Не менее 150 тыс. студентов к 2024 году используют
 единое студенческое мобильное приложение "OnRussia", объединяющее
 активную молодежь со всей страны. Ежегодное увеличение числа пользователей не
 менее 
 50 тыс. человек.
 Созданы и реализуют свою деятельность на постоянной
 основе отделения Национальной лиги студенческих клубов в не менее 80 субъектах
 Российской Федерации к 2024 году. Ежегодно участие принимают не менее 500 000
 студентов образовательных организаций высшего и среднего специального
 образования из 80 субъектов Российской ФедерацииК 2024 году 70%
 студентов будут вовлечены в клубное студенческое движение.</t>
  </si>
  <si>
    <t>Спроектирована и построена образовательная
 площадка,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t>
  </si>
  <si>
    <t>Разработаны и реализованы образовательные программы на
 базе подмосковного образовательного молодежного центра (Мастерской управления "Сенеж"). Ежегодно не менее 12
 тыс. человек участвуют (в том числе в формате он-лайн) в форумах, слетах,
 конференциях на базе подмосковного образовательного молодежного центра (Мастерской управления "Сенеж"), проходят обучение в образовательных программах
 (тренингах, семинарах, мастер-классах) на базе подмосковного образовательного молодежного центра (Мастерской управления "Сенеж"), а также принимают участие в проектах платформы
 "Россия - страна возможностей", которые реализуются на базе подмосковного образовательного молодежного центра (Мастерской управления "Сенеж").</t>
  </si>
  <si>
    <t>Ежегодно, с 2022 года, на базе образовательного центра
 проводятся по две 10-дневные смены, которые охватывают не менее 4 направлений
 культуры и искусства (количество участников 1 смены составляет не мене 200
 человек). Увеличено число молодых деятелей культуры и искусства, обладающих
 личными профессиональными достижениями в различных творческих областях.
 Предоставлены возможности для творческой молодежи обучаться по расширенным
 образовательным программам от ведущих российских организаций в области культуры
 и искусства. 
 Разработаны и ежегодно
 проводятся не менее 10 образовательных программ
 в рамках Форума молодых деятелей культуры и искусства "Таврида", в
 котором принимают участие не менее 3 500
 молодых деятелей культуры и искусства, к разработке программ привлечено не
 менее 30 профильных партнерских организаций сферы культуры и искусства,
 разрабатывающих образовательные программы по профильным направлениям
 деятельности. Участие в образовательной программе приняли не менее 300
 экспертов. 
 Предоставлена возможность для молодых деятелей культуры и искусства
 получения информации по профильному направлению творчества от ведущих
 российских экспертов в области культуры и искусства. Проведены качественные
 экспертные отборы проектов среди творческой молодежи</t>
  </si>
  <si>
    <t>Ежегодно проводится площадка, знакомящая жителей страны
  с новыми молодыми талантами, которые готовы конкурировать с современными
  исполнителями и иными известными личностями в области культуры и искусства по
  различным творческим сферам, а также дополнять имеющийся творческий контент
  новыми достижениями. Участие, в томчисле как зрители, принимают не менее 30 тыс. человек. Ежегодное увеличение количества участников - 5 тыс. человек</t>
  </si>
  <si>
    <t>Спроектирована и построена площадка образовательного центра для молодых деятелей культуры и искусства «Арт-резиденция «Таврида»,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t>
  </si>
  <si>
    <t>Спроектирована и построена площадка образовательного центра «Машук» на 300 человек единовременного пребывания в Северо-Кавказском федеральном округе, отвечающая всем требованиям для организации беспрерывного образовательного процесса, обладающая инфраструктурой, необходимой для проведения различного формата мероприятий всероссийского и международного уровня​​.</t>
  </si>
  <si>
    <t>Создание условий для развития наставничества, поддержки общественных инициатив и проектов, в том числе в сфере добровольчества (волонтерства)</t>
  </si>
  <si>
    <t>К 2024 году созданы и функционируют 318 центров
 (сообществ, объединений) поддержки добровольчества (волонтерства) на базе
 образовательных организаций, НКО, государственных и муниципальных учреждений, в
 том числе 10 ресурсных центров по поддержке добровольчества (волонтерства) в
 сфере культуры безопасности и ЧС.
 Разработан типовой регламент деятельности ресурсных
 центров по поддержке добровольчества (волонтерства) в сфере культуры
 безопасности и ЧС.
 Сформирована сеть центров (сообществ,
 объединений) по поддержке
 добровольчества (волонтерства) в различных
 сферах на базе образовательных организаций, некоммерческих организаций,
 государственных и муниципальных учреждений, обеспечено продвижение социальных
 добровольческих проектов, реализуемых молодежью.</t>
  </si>
  <si>
    <t>Разработана конкурсная документация и проведены
 конкурсные отборы на предоставление субсидий (грантов), направленных на
 создание эффективной системы развития добровольчества в школах, повышение
 уровня мотивации школьников и педагогов к участию в волонтерской деятельности,
 в которой принимают участие не менее 600 педагогов и не менее 6000 школьников
 ежегодно.</t>
  </si>
  <si>
    <t>Обеспечено развитие единой информационной системы в сфере развития добровольчества путем расширения ее функционала и содержательного наполнения.Разработаны и реализуются мероприятия по продвижению единой информационной системы в сфере развития добровольчества в средствах массовой информации.Обеспечено продвижение единой информационной платформы в средствах массовой информации, выпуск специализированных информационных и образовательных передач для добровольцев (волонтеров) (ежегодно).Обеспечено нормативное регулирование порядка ведения электронной волонтерской книжки, необходимой для учета и подтверждения опыта волонтерской деятельности, в единой информационной системы в сфере развития добровольчества и ее учета приемными комиссиями образовательных организаций.Ежегодное увеличение числа пользователей не менее 150 тыс. человек в год.Разработка и внедрение цифрового сервиса для диагностики мотивации к социальной активности у детей и молодежи, что подразумевает проведение исследований по анализу мотивации к волонтерской деятельности на базе единой информационной системы в сфере развития добровольчества.</t>
  </si>
  <si>
    <t>Разработана нормативно-методическая база для
 организации системы учета и признания результатов участия волонтеров в
 мероприятиях, лучших практик в сфере добровольчества, реализуемых в субъектах
 Российской Федерации, в составе программ среднего профессионального и высшего
 образования, иных форм учета и социальной поддержки граждан, систематически
 участвующих в добровольческих (волонтерских) проектах.
 Создана система повышения уровня мобильности лучших
 волонтеров, включающая возмещение расходов на оплату проживания и трансфера до
 мест проведения крупных событий, а также организацию межрегиональных и
 международных стажировок в сфере волонтерства.
 Создана сеть региональных ресурсных центров
 добровольчества, волонтерских центров в образовательных организациях всех
 типов, центров "серебряного" волонтерства во всех 85 субъектах
 Российской Федерации, а также волонтерских движений в сфере здравоохранения и
 гражданско-патриотического воспитания населения.
 Создана система учета опыта социальной активности, в
 том числе добровольческой деятельности, обучающихся по основным
 общеобразовательным программам при поступлении в организации профессионального
 и высшего образования, а также граждан при трудоустройстве на работу</t>
  </si>
  <si>
    <t>Организованы и проведены конкурсы на лучшую разработку
 информационной и рекламной кампании в целях популяризации добровольчества.
 Организована и проводится информационная и рекламная
 кампании в целях популяризации добровольчества (ежегодно).
 Подготовлено и обеспечено распространение
 аналитических материалов по результатам исследования эффективности
 реализованной информационной и рекламной кампании в целях популяризации
 добровольчества, включающей критерии вовлечения новых добровольцев (волонтеров)
 в действующие проекты на основе данных единой информационной системы в сфере
 развития добровольчества</t>
  </si>
  <si>
    <t>Проводится 2 всероссийских мероприятия, направленных
 на подведение итогов первого полугодия и года в целом,
 а также 1
 всероссийское мероприятие, направленное на развитие "серебряного"
 добровольчества, 4 окружных форумов добровольцев в федеральных округах
 Российской Федерации</t>
  </si>
  <si>
    <t>Увеличение не менее чем в два раза количества иностранных граждан, обучающихся в образовательных организациях высшего образования и научных организациях, а также реализация комплекса мер по трудоустройству лучших из них в Российской Федерации</t>
  </si>
  <si>
    <t>Реализация механизма государственной поддержки
 продвижения российского образования за рубежом является одним из инструментов
 повышения глобальной конкурентоспособности российского образования. Механизм
 предусматривает использование уже созданных за рубежом инфраструктурных
 ресурсов (Славянские университеты, российские школы, филиалы российских
 образовательных организаций высшего образования), а также формирования новых.
 Механизм продвижения российского образования реализуется через систему
 мероприятий: летние и зимние школы, информирование иностранных граждан о
 возможностях российского образования, проведение международных и российских
 олимпиад, по итогам которых иностранные граждане могут быть зачислены на
 обучение в российский образовательные организации высшего образования в рамках
 квоты Правительства Российской Федерации.</t>
  </si>
  <si>
    <t>В рамках федерального проекта предусмотрено
 создание современных многофункциональных студенческих городков для проживания
 иностранных и иногородних студентов, преподавателей и исследователей, в том
 числе по модели государственного-частного партнерства, отвечающих мировым
 стандартам и соответствующих строительным, санитарным, гигиеническим,
 противопожарным, антитеррористическим нормам и иным требованиям, включая
 требования архитектурной доступности для инвалидов.
 Модель создания и эксплуатации современных многофункциональных студенческих
 городков будет включать описание организационных иэкономических
 механизмов создания и эксплуатации студенческих городков. Организационные
 механизмы будут включать описание параметров межведомственного взаимодействия,
 внесение изменений внормативную правовую базу, в том числе в части
 миграционного учета, лицензирования и аккредитации образовательной деятельности.
 Экономические механизмы будут включать, в том числе механизмы привлечения
 внебюджетного финансирования, ориентированного на результат, в том числе в
 форме государственно-частного партнерства, а также параметры прогнозной оценки
 затрат на содержание и развития студенческих городков.
 Кроме того, в рамках федерального проекта будет проведена оценка потребности
 ведущих российских университетов, а также созданных в рамках национального
 проекта "Наука" научно-образовательных центров в создании
 многофункциональных студенческих городков, включая расчеты дополнительной
 потребности средств федерального бюджета.</t>
  </si>
  <si>
    <t>Модельподдержки и развития экспорта образования
 будет учитывать результаты приоритетного проекта "Развитие экспортного
 потенциала российской системы образования", паспорт которого утвержден
 президиумом Совета при Президенте Российской Федерации по стратегическому
 развитию и приоритетным проектам (протокол от 30 мая 2017 г. № 6), ориентирована
 на результаты и мероприятия федерального проекта "Экспорт услуг"
 национального проекта "Международная кооперация и экспорт". Будет учитывать
 особенности референтных групп стран-партнеров и территориально-отраслевых
 сегментов мирового рынка. Реализациямоделиподдержки и развития экспорта
 образования будет способствовать притоку финансовых ресурсов от оказания
 образовательных услуг.</t>
  </si>
  <si>
    <t>Комплекс мер предусматривает анализ действующей нормативной правовой
 базы и разработку согласованных с заинтересованными федеральными органами исполнительной
 власти предложений по внесению изменений (разработке) в нормативные правовые
 акты в части совершенствования процедур въезда, выезда, пребывания на
 территории Российской Федерации, трудоустройства и стажировок иностранных
 граждан и лиц без гражданства на время их обучения на территории Российской
 Федерации, предложения по оптимизации миграционного законодательства в части
 въезда, выезда, пребывания на территории Российской Федерации, трудоустройства
 и стажировок иностранных преподавателей и административных сотрудников
 организаций, осуществляющих образовательную деятельность по образовательным
 программам высшего образования</t>
  </si>
  <si>
    <t>В целях обеспеченности информационной открытости
 университетов для зарубежных партнеров, иностранных абитуриентов и студентов
 предусмотрены изменения нормативных правовых актов, регулирующих размещение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На постоянной основе будет
 проводиться мониторинг соответствия официальных версий сайтов, результаты
 мониторинга будут учитываться при проведении оценки деятельности как самих
 организаций, так и их руководителей.</t>
  </si>
  <si>
    <t>Информационная кампания предусматривает реализацию
 комплекса презентационных мероприятий, направленных на формирование позитивного
 образа России и российского образования и отбору иностранных граждан для
 получения российского образования. Частью информационной кампании будет в том
 числе участие российских организаций, осуществляющих образовательную
 деятельность по образовательным программам среднего профессионального и высшего
 образования, в международных выставках, симпозиумах, конференциях</t>
  </si>
  <si>
    <t>Комплексный план представляет собой описание
 вариативной системы мер и мероприятий по привлечению иностранных граждан для
 обучения в российских организациях, осуществляющих образовательную деятельность
 по программам высшего образования. Комплексный план будет предусматривать вклад образовательных организаций
 высшего образования и научных организаций в достижение целевого показателя по
 увеличению численности иностранных граждан</t>
  </si>
  <si>
    <t>Летние и зимние школы будут организовываться в
 рамках механизма государственной поддержки продвижения российского образования
 за рубежом через реализацию проектов развития образовательных организаций
 высшего образования, в том числе ведущих университетов. Проведение летних и
 зимних школ будет направлено на выявление и отбор одаренных и профессионально
 ориентированных иностранных магистрантов и молодых исследователей, а также
 будет способствовать формированию позитивного образа России и российского
 образования.
 В проводимых летних и зимних школах, организованных российскими
 образовательными организациями высшего образования, будут принимать участие
 дети и представители молодежи из числа иностранных граждан в рамках
 соответствующих мероприятий, предусмотренных в федеральном проекте "Успех
 каждого ребенка".</t>
  </si>
  <si>
    <t>Преподавание части учебных дисциплин, курсов
 (модулей) на иностранных языках направлено на повышение комфортности обучения
 иностранных граждан, сокращение периода их адаптации, а также повышение уровня
 языковой грамотности российских преподавателей и обучающихся</t>
  </si>
  <si>
    <t>По итогам международных и российских олимпиад и конкурсов отбирается иностранных граждан от общего числа иностранных граждан, принятых на первый курс в пределах квоты, установленной Правительством Российской Федерации, для обучения в российских организациях, осуществляющих образовательную деятельность по образовательным программам высшего образования, по востребованным (дефицитным) направлениям подготовки, специальностям:</t>
  </si>
  <si>
    <t>Предоставление права приоритетного поступления
 иностранным граждан в пределах квоты, установленной Правительством Российской
 Федерации, отобранным на программы высшего образования позволит повысить
 уровень подготовленности к освоению программ высшего образования поступающих из
 числа иностранных граждан. С этой целью будут проанализированы проводимые
 различными организациями олимпиады и конкурсы, перечень которых утверждается
 приказом Минобрнауки России, а также мероприятия, проводимые совместно с
 работодателями, и определены те из них, которые могут быть ориентированы на
 иностранных граждан.
 Кроме того, предполагается, что в рамках достижения данного результата получат
 развитие олимпиады и конкурсы, которые в настоящее время проводятся
 непосредственно для приема иностранных граждан, в частности Международная
 олимпиада Ассоциации "Глобальные университеты" для поступающих на
 программы магистратуры</t>
  </si>
  <si>
    <t>Будут созданы специальные ресурсы, ориентированные
 на конкретную аудиторию референтных групп стран-партнеров, в том числе с учетом
 особенности организации доступа к зарубежным сайтам в сети "Интернет"
 в отдельных странах, рассматриваемых как целевая аудитория для экспорта
 российского высшего образования (например, Китай). Ресурсы будут включать
 полную информации о реализуемых в России образовательных программах высшего
 образования по различным областям</t>
  </si>
  <si>
    <t>К2024 году будет создано50 ресурсных центров для
 детей и педагогов.
 Деятельность ресурсных центров для детей и педагогов, на базе которых будет
 осуществляться преподавание общеобразовательных предметов (математика,
 биология, химия, физика, астрономия и другие) на углубленном уровне, будет
 способствовать распространению и продвижению русского языка за рубежом,
 обеспечивать качественную общеобразовательную подготовку иностранных
 школьников, ориентированных на получение российского профессионального
 образования</t>
  </si>
  <si>
    <t>Характеристика
 результата «В 2019 году будет обеспечено, строительство и реконструкция ранее
 начатых объектов, а также объектов, обеспеченных разработанной проектной
 документацией, получившей положительные заключения государственной экспертизы.
 С 2020 года проектирование, строительство и реконструкция студенческих
 городков, в том числе приобретение недвижимого имущества, для иностранных и
 иногородних обучающихся и научно-педагогических работников будет реализовано, в
 том числе, на основе сформированной организационно-экономической модели
 создания и функционирования современного многофункционального студенческого
 городка. Перечень организаций для проектирования, строительства и реконструкции
 студенческих городков, в том числе приобретение недвижимого имущества, будет
 формироваться в том числе с учетом оценки их экспортного потенциала. При
 формировании перечня будут учтены потребности научно-образовательных центров,
 созданных в рамках национального проекта "Наука". Оценка экспортного
 потенциала будет проводиться, в том числе с учетом следующих критериев:
 международная привлекательность университетов, объем доходов от
 образовательного и научного экспорта. До мая 2019 года будет разработана
 система показателей с учетом данных критериев, установлены пороговые значения,
 по которым будет проводиться оценка экспортного потенциала.
 Проектирование,
 строительство и реконструкция студенческих городков для иностранных и
 иногородних обучающихся и научно-педагогических работников будет реализовано, в
 том числе с учетом механизма привлечения внебюджетного финансирования,
 ориентированного на результат, а также в форме государственно-частного
 партнерства.</t>
  </si>
  <si>
    <t>К 2024 году численность
  иностранных граждан, прошедших обучение в образовательных организациях
  высшего образования и научных организациях, будет увеличена в два раза в
  сравнении с 2017 годом, что также будет способствовать увеличению объемов
  средств, которые Российская Федерация получит за оказание образовательных
  услуг. Является интегральным результатом всего комплекса мероприятий
  федерального проекта. Характеризует возможности использования ресурсов
  "мягкой силы" в продвижении Российской Федерации в мировом
  пространстве</t>
  </si>
  <si>
    <t>Является показателем, характеризующим эффективность
 реализованных мероприятий по отбору и обучению иностранных граждан, по
 формированию доверия к России и ее позитивного восприятия.
 Для достижения данного результата будет проведен анализ мероприятий, проводимых
 работодателями, с целью подготовки высококвалифицированных сотрудников
 предприятий из числа иностранных граждан для кадрового обеспечения экспорта
 российских технологий. В частности, будут проанализированы мероприятия по
 реализации программ дополнительного профессионального образования с
 использованием ресурсов образовательных организаций высшего образования и
 материально-технической инфраструктуры предприятий по подготовке, повышению
 квалификации и переподготовке иностранных граждан для обеспечения деятельности
 российских предприятий за рубежом</t>
  </si>
  <si>
    <t>Для повышения привлекательности образовательных
 программ и образовательных организаций необходимо международное признание
 качества образовательных программ российских вузов независимыми зарубежными
 экспертными организациями для наращивания репутационного капитала российского
 образования</t>
  </si>
  <si>
    <t>Реализована модель поддержки и развития экспорта образования по группам стран-партнеров и территориально-отраслевым сегментам мирового рынка с целью эффективного обеспечения высококвалифицированными кадрами экспортно ориентированных секторов российской экономики</t>
  </si>
  <si>
    <t>Реализована модель поддержки и
 развития экспорта образования, учитывающая особенности референтных групп
 стран-партнеров и территориально-отраслевых сегментов мирового рынка, которая
 будет способствовать притоку финансовых ресурсов от оказания образовательных
 услуг.</t>
  </si>
  <si>
    <t>Формирование системы профессиональных конкурсов в целях предоставления гражданам возможностей для профессионального и карьерного роста</t>
  </si>
  <si>
    <t>Создана и функционирует онлайн-платформа системы профессиональных конкурсов в целях предоставления гражданам возможностей для профессионального и карьерного роста</t>
  </si>
  <si>
    <t>Онлайн-платформа
 системы профессиональных конкурсов представляет собой единый информационный
 ресурс, содержащий информацию об условиях участия в конкурсах и возможностях,
 которые будут предоставлены призерами победителям конкурсов, размещение
 открытой информации о призерах и победителях конкурсов с указанием
 предоставленных им возможностей для профессионального и карьерного роста.
 Создание в 2019 годуи функционированиедо конца 2024 года онлайн-платформы системы профессиональных
 конкурсов обеспечит:
 - получение гражданами информации об условиях участия в профессиональных конкурсах, в том числе с
 возможностью создания личных кабинетов, сопровождающих процесс участия в
 конкурсах, а также отслеживающих изменения профессионального и карьерного роста
 участников после участия в конкурсах, в том числе по предложениям
 работодателей; 
 - проведение профориентационной работы, в том числе среди молодежи, с целью
 построения эффективной траектории профессионального развития;
 - проведение комплексной многоступенчатой оценки участников профессиональных
 конкурсов; 
 - обмен опытом и общение между участниками профессиональных конкурсов.</t>
  </si>
  <si>
    <t>Обеспечено проведение конкурсов в целях предоставления гражданам возможностей для профессионального и карьерного роста</t>
  </si>
  <si>
    <t>Проведение
 с 2019 года профессиональных конкурсов позволит для каждого участника:
 - предоставить возможность улучшить свой профессиональный и карьерный рост;
 - создать условия для формирования ценностного ориентира, направленного на
 повышение мотивации к непрерывному саморазвитию, карьерному и профессиональному
 росту;
 - сформировать коммуникационные возможности для обмена опытом между участниками
 конкурсов.
 Запланировано проведение конкурсов к концу:
 2019 года - 12 конкурсов, с охватом не менее 300 тыс. граждан;
 2020 года - 15 конкурсов, с охватом не менее 500 тыс. граждан;
 2021 года - 20 конкурсов, с охватом не менее 800 тыс. граждан;
 2022 года - 25 конкурсов, с охватом не менее 1,1 млн. граждан;
 2023 года - 30 конкурсов, с охватом не менее 1,4 млн. граждан;
 2024 года - 35 конкурсов, с охватом не менее 1,7 млн. граждан.
 В целях эффективности реализации мероприятий планируется разработка и внедрение
 нормативной базы, обеспечивающей учет результатов профессиональных конкурсов
 при освоение модулей профессиональных образовательных программ, прохождении
 квалификационных экзаменов, аттестационных процедур и т.д.
 Ежегодно планируется проведение мониторинга (оценки):
 - эффективности проведения профессиональных конкурсов;
 - динамики значений доли участников конкурсов, которым участие в конкурсах
 помогло решить проблему с трудоустройством, получить карьерный и
 профессиональный рост, в том числе путем использования возможностей
 онлайн-платформы; 
 - участия в конкурсах представителей работодателей;
 - трудоустройства или карьерного роста победителей конкурса.</t>
  </si>
  <si>
    <t>Организация и проведение мероприятий в рамках Всероссийского проекта «Классные встречи» во всех регионах Российской Федерации, участниками которых стали не менее 100 тыс. школьников. В общеобразовательные организации распространены информационные материалы по программе «Классные встречи», проведено не менее 5000 классных часов с использованием информационных материалов, общее количество просмотров не менее 1 млн. В 85 субъектах Российской Федерации реализована программа Всероссийского проекта «Классные встречи» на всех уровнях: федеральный, региональный, муниципальный и проводится не менее 350 встреч ежегодно.</t>
  </si>
  <si>
    <t>​В рамках данного результата реализован Всероссийский проект «Классные встречи», который проводится с целью формирования у обучающихся общеобразовательных организаций ценностных ориентиров посредством организации и проведения встреч с деятелями культуры и искусства, учеными, спортсменами, общественными деятелями и известными личностями современности.В 85 субъектах Российской Федерации реализована программа на всех уровнях: федеральный, региональный, муниципальный и проводится не менее 13 встреч в каждом регионе ежегодно.В общеобразовательные организации распространены информационные материалы по программе Всероссийского проекта «Классные встречи», проведено не менее 5000 классных часов с использованием информационных материалов, общее количество просмотров не менее 1 млн.</t>
  </si>
  <si>
    <t>Проведено не менее 1 всероссийского и 85 региональных мероприятий в рамках всероссийского проекта «Эстафета поколений» по обучению представителей старшего поколения формам и методам работы с молодежью и привлечению к наставнической деятельности ветеранского сообщества.</t>
  </si>
  <si>
    <t>В рамках данного результата реализован Всероссийский
 проект «Эстафета поколений».К 2024 году выстроена работа на всех уровнях: федеральный, региональный,
 муниципальный, что позволит провести 1 всероссийское и 85 региональных
 семинаров по обучению волонтеров и ветеранского сообщества.Назначены и обучены 85 координаторов проекта «Эстафета поколений».Не менее 15 тыс. волонтеров вовлечены в проект – стали очными участниками
 обучающих семинаров и организаторами мероприятий проекта.В ветеранские и молодежные организации распространены информационные материалы
 по проекту «Эстафета поколений», общее количество просмотров не менее 100 тыс.</t>
  </si>
  <si>
    <t>01.10.2018</t>
  </si>
  <si>
    <t>Улучшение условий ведения предпринимательской деятельности, включая упрощение налоговой отчетности для предпринимателей, применяющих контрольно-кассовую технику</t>
  </si>
  <si>
    <t>Обеспечена реализация права предпринимателей на
 осуществление нестационарной и мобильной торговли (развозной) за счет
 законодательного закрепления прозрачных
 правил предоставления мест для нестационарных и мобильных торговых объектов,
 долгосрочного характера договоров на размещение с правом продления их действия
 с добросовестными хозяйствующими субъектами без торгов, предоставления
 компенсационных мест для сохранения
 бизнеса в случаях, если место размещения нестационарного или мобильного
 торгового объекта требуется для государственных или муниципальных нужд.</t>
  </si>
  <si>
    <t>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менее (нарастающим итогом):</t>
  </si>
  <si>
    <t>Освобождены от обязанности предоставления налоговой декларации не менее 1,2 млн. налогоплательщиков – субъектов МСП, применяющих упрощенную систему налогообложения с объектом налогообложения в виде доходов и использующих контрольно-кассовую технику в 2020-2024 годах</t>
  </si>
  <si>
    <t>Обеспечено снижение административной нагрузки для
 малых предприятий, применяющих упрощенную систему налогообложения с объектом
 налогообложения в виде доходов, связанную с необходимостью заполнения и
 представления в налоговый орган налоговой декларации.</t>
  </si>
  <si>
    <t>Проведена ежегодная лотерея фискальных чеков среди потребителей товаров (работ, услуг) субъектов МСП в целях стимулирования их к легализации транзакций</t>
  </si>
  <si>
    <t>Снижен уровень теневой занятости посредством
 привлечения граждан к контрольным мероприятиям над налогоплательщиками,
 использующими контрольно-кассовую технику.</t>
  </si>
  <si>
    <t>Улучшены условия деятельности субъектов МСП, применяющих упрощенную систему налогообложения (далее - УСН) - введен переходный налоговый режим для субъектов МСП, утративших право на применение УСН в результате превышения пределов по выручке и (или) численности работников</t>
  </si>
  <si>
    <t>Установлен специальный налоговый режим,
 обеспечивающий комфортные условия перехода предприятий, применяющих упрощенную
 систему налогообложения, на общий режим
 налогообложения.</t>
  </si>
  <si>
    <t>Законодательно закреплены единые подходы к созданию (с учетом специфики создания промпарков и технопарков для субъектов МСП), развитию, обеспечению функционирования, финансированию и оценке эффективности территорий с особыми условиями осуществления предпринимательской деятельности</t>
  </si>
  <si>
    <t>Обеспечено
 принятие федерального закона и подзаконных актов, устанавливающих единые
 подходы к созданию, обеспечению функционирования, финансированию и оценке
 эффективности инструментов развития территорий и применения особых режимов
 осуществления предпринимательской деятельности, учитывающих
 территориальные и отраслевые особенности
 регионов</t>
  </si>
  <si>
    <t>Разработан и внедрен комплекс мер по сокращению дифференциации условий ведения предпринимательской деятельности субъектами малого предпринимательства, зарегистрированными в районах Крайнего Севера и приравненных к ним местностях</t>
  </si>
  <si>
    <t>Определены
 направления и механизмы нормативного обеспечения выравнивания
 конкурентоспособности и стимулирования
 развития МСП врайонах Крайнего Севера и приравненных к ним местностях</t>
  </si>
  <si>
    <t>Законодательно закреплено определение "Социальное предпринимательство" в целях оказания поддержки субъектам МСП, осуществляющим деятельность в данной сфере</t>
  </si>
  <si>
    <t>Обеспечена
 возможность оказания специальных мер поддержки для социальных предпринимателей.</t>
  </si>
  <si>
    <t>Определены
 цели и задачи стратегического планирования в сфере развития туризма,
 установлены целевые показатели вклада сектора МСП в развитие туристической
 отрасли в Российской Федерации.</t>
  </si>
  <si>
    <t>Разработан и внедрен комплекс мер по развитию внутреннего туризма, направленный на улучшение условий предпринимательской деятельности участников туристкой сферы</t>
  </si>
  <si>
    <t>Определены
 ключевые показатели эффективности, отражающие качественное улучшение условий
 предпринимательской деятельности в туристской сфере. Разработаны механизмы и
 определены меры по развитию внутреннего туризма, обеспечивающие достижение
 соответствующих ключевых показателей эффективности.</t>
  </si>
  <si>
    <t>Реализован механизм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 в 2019 - 2024 гг.</t>
  </si>
  <si>
    <t>Обеспечен
 сбор и обсуждение предложений бизнеса, субъектов Российской Федерации,
 организаций по устранению избыточных и устаревших норм с последующим включением
 в распоряжение Правительства Российской Федерации</t>
  </si>
  <si>
    <t>Общее количество объектов государственного и муниципального имущества, включенных в перечни государственного и муниципального имущества для предоставления субъектам МСП на льготных условиях, тыс. ед. нарастающим итогом</t>
  </si>
  <si>
    <t>Расширен  состав перечней государственного и муниципального имущества, предназначенного
 для предоставления в аренду субъектам МСП, за счет выявленного имущества, в том
 числе неиспользуемого, неэффективно используемого или используемого не по
 назначению, учтенного в реестрах государственного и муниципального имущества.</t>
  </si>
  <si>
    <t>Введение на два года (2019 - 2020 гг.) моратория на проведение плановых проверок в отношении юридических лиц, индивидуальных предпринимателей, отнесенных к субъектам малого предпринимательства, за исключением видов деятельности и объектов контроля с высоким риском возникновения угрозы причинения вреда жизни и здоровью граждан, видов государственного контроля (надзора), в отношении которых применяется риск-ориентированный подход, лиц, в отношении которых было вынесено вступившее в законную силу постановление о назначении административного наказания за совершение грубого нарушения, а также лицензируемых видов деятельности и операций с драгоценными металлами и драгоценными камнями.</t>
  </si>
  <si>
    <t>Приняты изменения в Федеральный закон "О
 внесении изменения в Федеральный закон "О защите прав юридических лиц и
 индивидуальных предпринимателей при осуществлении государственного контроля
 (надзора) и муниципального контроля"</t>
  </si>
  <si>
    <t>Организовано и проведено сплошное федеральное статистическое наблюдение за деятельностью субъектов МСП по итогам работы в 2020 году</t>
  </si>
  <si>
    <t>Совершенствование системы статистического учета деятельности в сфере туризма</t>
  </si>
  <si>
    <t>Улучшены условия деятельности субъектов МСП, применяющих УСН - исключена обязанность представления налоговой декларации при применении ККТ (если объектом налогообложения являются доходы)</t>
  </si>
  <si>
    <t>Обеспечение благоприятных условий осуществления деятельности самозанятыми гражданами посредством создания нового режима налогообложения, предусматривающего передачу информации о продажах в налоговые органы Российской Федерации в автоматическом режиме, освобождение от обязанности представлять отчетность, а также уплату единого платежа с выручки, включающего в себя страховые взносы</t>
  </si>
  <si>
    <t>Проведена апробация специального налогового режима
 для самозанятых граждан в 4 пилотных субъектах Российской Федерации (г.Москва,
 Московская область, Калужская область, Республика Татарстан) на базе мобильного
 приложения в целях отработки ключевых параметров специального налогового
 режима, включая:- передачу информации о продажах в налоговые органы в
 автоматическом режиме, освобождение от обязанности предоставлять отчетность;-
 уплату единого платежа с выручки, включающего в себя взнос в фонд обязательного
 медицинского страхования;- возможность формирования налогового капитала на
 развитие для оплаты им части сумм исчисленного налога.</t>
  </si>
  <si>
    <t>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4 и улучшивших показатели выручки и (или) численности занятых, достигло 2 160 тыс. ед. в 2019 - 2024 гг. (нарастающим итогом)</t>
  </si>
  <si>
    <t>По итогам апробации специального налогового режима
 для самозанятых граждан в пилотных регионах подготовлены предложения по совершенствованию
 специального налогового режима и по определению в законодательстве Российской
 Федерации правового статуса самозанятых граждан</t>
  </si>
  <si>
    <t>Внесены изменения в Налоговый кодекс Российской
 Федерации, предусматривающие право применения нового налогового режима для
 самозанятых граждан на всей территории Российской Федерации.</t>
  </si>
  <si>
    <t>Введена в постоянную эксплуатацию информационная
 система, обеспечивающая налогообложение самозанятых граждан и постановку на
 учет в автоматическом режиме.</t>
  </si>
  <si>
    <t>Самозанятым гражданам, зафиксировавшим свой статус
 всоответствии с законодательством Российской Федерации, предоставлена
 возможность получения кредитно-гарантийной поддержки на цели развития своей
 деятельности.</t>
  </si>
  <si>
    <t>​Для самозанятых граждан, прошедших регистрацию в установленном порядке, обеспечена возможность на базе мобильного приложения :- осуществлять передачу информации о продажах в налоговые органы в автоматическом режиме, освобождение от обязанности предоставлять отчетность;- уплачивать единый платеж с выручки, включающего в себя взнос в ФОМС;- формировать налоговый капитал на развитие для оплаты им части сумм исчисленного налога.</t>
  </si>
  <si>
    <t>В центрах "Мой бизнес" в субъектах Российской Федерации обеспечено предоставление информационно-консультационных и образовательных мер поддержки самозанятым гражданам</t>
  </si>
  <si>
    <t>Самозанятым гражданам, зафиксировавшим свой статус
 всоответствии с законодательством Российской Федерации, предоставлена
 возможность получения услуг и мер поддержки в Центрах "Мой бизнес</t>
  </si>
  <si>
    <t>Упрощение доступа к льготному финансированию, в том числе ежегодное увеличение объема льготных кредитов, выдаваемых субъектам малого и среднего предпринимательства, включая индивидуальных предпринимателей</t>
  </si>
  <si>
    <t>В Федеральный закон от 24июля 2007г. №209-ФЗ
 "Оразвитии малого и среднего предпринимательства в Российской
 Федерации" внесены изменения, предусматривающие предоставление
 субсидий АО"Корпорация "МСП" на компенсацию потерь по резервам, сформированным по выданным
 гарантиям субъектам МСП в целях увеличения объемов гарантийной поддержки в рамках
 расширения объемов кредитования субъектов МСП в рамках НГС</t>
  </si>
  <si>
    <t>В федеральном бюджете предусмотрены бюджетные
 ассигнования на предоставление субсидии АО"Корпорация
 "МСП" финансовое обеспечение
 исполнения обязательств АО "Корпорация "МСП" по гарантиям,
 предоставленным субъектам МСП в период с 2019 по 2024гг., в целях
 увеличения объемов гарантийной поддержки в рамках расширения объемов
 кредитования субъектов МСП в рамках НГС.
 Предоставлена субсидия АО "Корпорация "МСП" 
 на финансовое обеспечение исполнения обязательств АО"Корпорация
 "МСП" по гарантиям, предоставленным субъектам МСП в период с 2019 по
 2024 гг.</t>
  </si>
  <si>
    <t>В субъектах Российской Федерации созданы и
 масштабируют свою деятельность РГО, осуществляющие деятельность в рамках НГС с
 учетом присвоенного ранга. 
 Разработана и законодательно закреплена система
 внутренних рангов для РГО.
 В Федеральный закон от 24июля 2007г. №209-ФЗ "Оразвитии
 малого и среднего предпринимательства в Российской Федерации" внесены
 изменения, предусматривающие: 
 - закрепление системы внутренних рангов Корпорации для
 РГО, основанной на оценке финансовой устойчивости и
 эффективности деятельности РГО, в том числе в целях оказания им последующей
 финансовой поддержки; 
 - полномочия АО "Корпорация "МСП" по
 присвоению рангов РГО.</t>
  </si>
  <si>
    <t>Увеличен уставный капитал АО "Корпорация
 "МСП" в целях докапитализации АО "МСП Банк" в целях
 увеличения объемов гарантийной поддержки в рамках расширения объемов
 кредитования субъектов МСП в рамках НГС.
 Платежное поручение о поступлении средств на расчетный счет АО
 "Корпорация "МСП".</t>
  </si>
  <si>
    <t>Произведен расчет показателя "Консолидированный
 объем финансовой поддержки" в соответствии с приказом Минэкономразвития
 России от 19 февраля 2015 г. №74 "Обутверждении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
 Правительством Российской Федерации издано
 постановление, предусматривающее утверждение программы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МСП по льготным
 ставкам, на цели финансирования проектов
 субъектов МСП в приоритетных отраслях.</t>
  </si>
  <si>
    <t>Сформирован и утвержден перечень проектов, реализуемых субъектами МСП в Дальневосточном
 федеральном округе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</si>
  <si>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Произведен расчет показателя "Консолидированный
 объем финансовой поддержки" в рамках приоритета деятельности НГС -
 субъектов МСП Дальневосточного федерального округа в соответствии с приказом
 Минэкономразвития России от 19февраля 2015г. №74 "Обутверждении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t>
  </si>
  <si>
    <t>Сформирован и утвержден перечень проектов, реализуемых субъектами МСП в Северо-Кавказском
 федеральном округе в приоритетных
 отраслях, для получения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t>
  </si>
  <si>
    <t>Произведен расчет показателя "Консолидированный
 объем финансовой поддержки" в рамках приоритета деятельности НГС -
 субъектов МСП Северо-Кавказского федерального округа в соответствии с приказом
 Минэкономразвития России от 19 февраля 2015 г. №74 "Обутверждении
 основных положений Стратегии развития Национальной гарантийной системы
 поддержки малого и среднего предпринимательства на период до 2020 года".
 При
 расчете фактического значения показателя в консолидированный объем финансовой
 поддержки не включаются денежные средства, которые хотя бы один раз уже были
 учтены в качестве финансовой поддержки, обеспеченной гарантией или
 поручительством одного из участников НГС</t>
  </si>
  <si>
    <t>Правительством Российской Федерации принято
 постановление Правительства Российской Федерации, предусматривающее реализацию механизма распределения объемов льготного кредитования, включая механизм
 квотирования, среди субъектов Российской Федерации в рамках
 программы предоставления субсидий кредитным организациям на возмещение
 недополученных ими доходов по кредитам, выданным субъектам МСП на реализацию
 проектов в приоритетных отраслях по льготной ставке с целью обеспечения равного
 доступа субъектов МСП к льготному кредитованию на всей территории Российской
 Федерации</t>
  </si>
  <si>
    <t>Получены платежные
 поручения о поступлении средств на счета региональных лизинговых компаний,
 созданных 
 с участием АО "Корпорация "МСП".</t>
  </si>
  <si>
    <t>В 2019 году выделены
 бюджетные ассигнования из федерального бюджета на предоставление субсидии
 бюджету Республики Крым для целей создания межрегиональной лизинговой компании
 в Республике Крым</t>
  </si>
  <si>
    <t>Произведен расчет показателя
 "Объем льготной лизинговой поддержки (сумма лизингового финансирования) субъектов МСП, оказанной региональными лизинговыми компаниями, созданными с участием АО "Корпорация "МСП".Объем льготной
 лизинговой поддержки (сумма лизингового финансирования) субъектов МСП,
 оказанной региональными лизинговыми компаниями (РЛК), созданными с участием АО
 "Корпорация "МСП", в 2019-2024 гг. рассчитываетсянарастающим итогом с 2017 года.Объем указанной льготной лизинговой
 поддержки в 2017-2018 гг. составил 3,3 млрд рублей.
 Достижение данного результата возможно в случае предоставления в 2020-2024 гг. бюджетных ассигнований из федерального бюджета (в размере не менее 7,030 млрд рублей) и бюджета субъектов Российской Федерации, в которых учреждены с участием АО "Корпорация "МСП"РЛК (в размере не менее 2,343 млрд рублей), на финансирование деятельности действующих и (или) вновь созданных РЛК, учрежденных с участием АО "Корпорация "МСП".</t>
  </si>
  <si>
    <t>Федеральной службой по интеллектуальной
 собственности, Минэкономразвития России организовано взаимодействие с
 Банком России и коммерческими банками на тему определения комплекса мероприятий
 по устранению ограничений регуляторного характера для принятия интеллектуальной
 собственности в качестве обеспечения по кредитам субъектам МСП и механизмам
 предоставления таких кредитов.
 Определен
 совместно с АО "Корпорация "МСП" механизм оказания
 государственной поддержки субъектам МСП в части их кредитования под залог прав
 на интеллектуальную собственность за счет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Начало
 оказания соответствующей государственной поддержки.</t>
  </si>
  <si>
    <t>Субъектам
 МСП предоставлены кредиты под залог прав на
 интеллектуальную собственность.
 Произведен расчет показателя "Объем кредитования
 субъектов МСП под залог прав на интеллектуальную собственность".</t>
  </si>
  <si>
    <t>Утверждены нормативные документы АО
 "МСП Банк", обеспечивающие внедрение
 механизмов предоставления кредитов на льготных условиях для предпринимателей каждой
 приоритетной группы (молодежь, женщины, инвалиды, предприниматели старше 45 лет
 и другие), а также микрофинансовых организаций с государственным участием для
 кредитования предпринимателей каждой приоритетной группы (женщины,
 предприниматели старше 45лет), в том числе утверждены АО "МСП
 Банк" условия кредитных продуктов для указанных приоритетных групп
 предпринимателей</t>
  </si>
  <si>
    <t>Реализован
 специальный кредитный продукт (промышленная ипотека) для резидентов
 промышленных площадок в целях создания (строительства, реконструкции)
 производственных помещений.
 Правительством Российской Федерации принято постановление
 Правительства Российской Федерации, предусматривающее реализацию
 специального кредитного продукта (промышленная ипотека) для резидентов
 промышленных площадок в целях создания (строительства, реконструкции)
 производственных помещений</t>
  </si>
  <si>
    <t>Реализованы механизмы рефинансирования портфелей
 кредитов МСП коммерческих банков с использованием секьюритизации. Реализованы
 сделки секьюритизации кредитов МСП, отработаны вопросы законодательного и
 регулятивного регулирования секьюритизации МСП кредитов. Функционирует
 платформа для реализации сделок секьюритизации портфелей нескольких банков.</t>
  </si>
  <si>
    <t>Развитие инструментов фондового рынка для использования субъектами МСП в целях получения доступа к дополнительным источникам финансирования</t>
  </si>
  <si>
    <t>Внедрены инструменты фондового рынка для массового
 использования субъектами МСП в результате чего повышена финансовая доступность
 для субъектов МСП, обеспечен доступ субъектов МСП к альтернативным источникам
 финансирования, созданы предпосылки для роста доли малых и средних предприятий
 в экономике.</t>
  </si>
  <si>
    <t>Повышена информированность инвесторов о биржевом
 сегменте МСП - "Секторе Роста", обеспечена возможность принятия
 инвесторами квалифицированных решений о размещении средств в данный биржевой
 сегмент</t>
  </si>
  <si>
    <t>Повышение доступности инструментов лизинга для субъектов МСП</t>
  </si>
  <si>
    <t>Правительством Российской Федерации принято
 постановление Правительства Российской Федерации, предусматривающее реализацию механизма
 субсидирования авансового платежа за счет средств федерального бюджета по
 лизинговым сделкам субъектов МСП</t>
  </si>
  <si>
    <t>Созданы предпосылки для увеличения доли и объемов
 лизинга в финансировании МСП, в том числе за счет увеличения объема лизингового
 финансирования за счет сусбидирования авансового платежа по договорам лизинга.</t>
  </si>
  <si>
    <t>Разработкамеханизма субсидирования части расходов на размещение лизинговых облигаций (затраты на аудит, рейтинговое агентство, консультанта, организатора), выпущенных под портфель МСП, а также осуществление сделки по секьюритизации лизингового портфеля субъектов МСП</t>
  </si>
  <si>
    <t>Повышение доступности финансирования микро и малого бизнеса за счет микрофинансовых организаций (МФО) и краудфандинга</t>
  </si>
  <si>
    <t>Утверждена концепция развития государственных
 микрофинансовых организаций</t>
  </si>
  <si>
    <t>Повышена доступность к заемным средствам для
 микропредприятий и представителей малого бизнеса, которые не могут
 воспользоваться традиционными банковскими продуктами (небольшая сумма кредита,
 отсутствие кредитной истории, удалённость населенного пункта и т.д.).
 Органам государственной власти субъектов
 Российской Федерации предоставлены субсидии из федерального бюджета на
 исполнение расходных обязательств, предусматривающих создание и (или) развитие
 государственных МФО, а также субсидии МФО на субсидирование ставки
 вознаграждения по микрозаймам субъектов МСП.</t>
  </si>
  <si>
    <t>Утверждены правила предоставления микрозаймов,внесены изменения в требования к
 деятельности государственных МФО</t>
  </si>
  <si>
    <t>Приказ Министерства экономического развития
 Российской Федерации, предусматривающий закрепление минимальной доли в размере 10% займов,
 не обеспеченных залогом, в структуре портфеля микрозаймов государственных МФО</t>
  </si>
  <si>
    <t>Создание цифровой платформы, ориентированной на информационную поддержку производственной и сбытовой деятельности субъектов малого и среднего предпринимательства, включая индивидуальных предпринимателей</t>
  </si>
  <si>
    <t>Обеспечена интеграция сервисов Портала
 Бизнес-навигатора МСП с Государственной информационной системой промышленности
 (ГИСП), в том числе в части организации обмена информацией о мерах поддержки
 субъектов МСП, объектах инфраструктуры поддержки субъектов МСП, интеграции иных
 сервисов Портала Бизнес-навигатора МСП и ГИСП, а также реализации в
 Бизнес-навигаторе МСП функционала рыночных ниш и примерных бизнес-планов для
 ряда производственных видов бизнеса по аналогии с существующим функционалом
 расчета рыночных ниш и примерных бизнес-планов для видов бизнеса в сфере городских
 розничных услуг</t>
  </si>
  <si>
    <t>Обеспечено включение в
 Бизнес-навигатор МСП планов благоустройства дворовых и общественных территорий
 из состава ГИС ЖКХ в целях информирования субъектов малого и среднего
 предпринимательства о параметрах планируемых работ по благоустройству</t>
  </si>
  <si>
    <t>Внедрены электронные сервисы
 для поддержки субъектов МСП с целью участия субъектов МСП в закупках,
 предусматривающие:
 - цифровизацию процесса
 участия субъектов МСП в закупках в части взаимного признания крупнейшими
 заказчиками типовых заявок, заполняемых субъектами МСП с использованием функционала
 АИС Мониторинг МСП АО "Корпорация "МСП";
 - консолидацию мер
 поддержки, оказываемых инновационным, высокотехнологичным субъектам МСП АО "Корпорация
 "МСП" и институтами развития в сфере инноваций;
 - единого агрегатора мер
 поддержки субъектов МСП, зарегистрированных на территории моногородов;
 - электронной платформы для развития
 факторинга</t>
  </si>
  <si>
    <t>Обеспечение упрощенного доступа в электронном виде для субъектов МСП к мерам поддержки, услугам и сервисам организаций инфраструктуры развития МСП и сбыта товаров и услуг</t>
  </si>
  <si>
    <t>Проведена инвентаризация всех услуг и сервисов организаций инфраструктуры и
 мер поддержки, обеспечена возможность получения доступа к ним федеральных и
 региональных органов власти, институтов развития и других организаций</t>
  </si>
  <si>
    <t>Обеспечена возможность получения субъектами МСП услуг и сервисов организаций инфраструктуры
 и мер поддержки в электронном виде с использованием ЕСИА</t>
  </si>
  <si>
    <t>Обеспечена интеграция единого личного кабинета субъекта
 МСП (с использованием ЕСИА) с ключевыми государственными и негосударственными
 образовательными платформами, информационными системами и производственно-сбытовыми
 площадками с возможностью размещения заявок и осуществления торговли в
 электронном виде</t>
  </si>
  <si>
    <t>Обеспечено посредством
 АИС управление заявками субъектов МСП, обращающихся за финансовой поддержкой в
 рамках Национальной гарантийной системы (НГС), онлайн-взаимодействие между
 банками-партнерами и организациями-партнерами, аккредитованными участниками
 НГС, и заемщиками - субъектами МСП</t>
  </si>
  <si>
    <t>Принят федеральный закон, которым установлен
 порядок ведения единого реестра субъектов МСП - получателей поддержки</t>
  </si>
  <si>
    <t>Сформирован единый реестр
 субъектов МСП - получателей поддержки на сайте Федеральной налоговой службы
 Российской Федерации</t>
  </si>
  <si>
    <t>Достигнуто значение количества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и/или
 численности занятых, в объеме 2160 тыс. ед. в 2019 - 2024 гг.
 (нарастающим итогом)</t>
  </si>
  <si>
    <t>15.10.2018</t>
  </si>
  <si>
    <t>Совершенствование нормативно-правового регулирования системы закупок, осуществляемых крупнейшими заказчиками у субъектов малого и среднего предпринимательства, включая индивидуальных предпринимателей</t>
  </si>
  <si>
    <t>Государственной Думой
 Федерального Собрания Российской Федерации принят федеральный закон,
 предусматривающий внесение изменений в Кодекс Российской Федерации об административных
 правонарушениях в части установления административной ответственности за
 нарушение заказчиками сроков оплаты по договорам, заключенным с субъектами МСП,
 предусмотренных постановлением
 Правительства Российской Федерации от 11 декабря 2014 г. № 1352 "Обособенностях
 участия субъектов малого и среднего предпринимательства в закупках товаров,
 работ, услуг отдельными видами юридических лиц"</t>
  </si>
  <si>
    <t>Государственной Думой
 Федерального Собрания Российской Федерации принят федеральный закон,
 предусматривающий внесение изменений в Федеральный закон от 18 июля 2011 г. №
 223-ФЗ "Озакупках товаров, работ, услуг отдельными видами
 юридических лиц" в части расширения горизонта планирования закупок у
 субъектов МСП до 3 лет</t>
  </si>
  <si>
    <t>Правительством Российской Федерации издано
 постановление, предусматривающее внесение изменений в Положение об особенностях участия субъектов малого и
 среднего предпринимательства в закупках товаров, работ, услуг отдельными видами
 юридических лиц, утвержденное постановлением Правительства Российской Федерации
 от 11 декабря 2014 г. № 1352 "Об особенностях участия субъектов малого и
 среднего предпринимательства в закупках товаров, работ, услуг отдельными видами
 юридических лиц" в части увеличения доли закупок, участниками
 которых являются только субъекты МСП, до 18%</t>
  </si>
  <si>
    <t>Повышение качества закупочной деятельности крупнейших заказчиков</t>
  </si>
  <si>
    <t>Издана директива
 Правительства Российской Федерации представителям
 интересов Российской Федерации в составах советов директоров (наблюдательных
 советов) акционерных обществ с государственным участием, являющихся
 заказчиками, закупочная деятельность которых подпадает под действие
 Федерального закона от 18 июля 2011 г. № 223-ФЗ "О закупках товаров,
 работ, услуг отдельными видами юридических лиц", предусматривающая определение в положениях о закупках
 сведений о возможности применения факторинга</t>
  </si>
  <si>
    <t>Издана директива
 Правительства Российской Федерации представителям
 интересов Российской Федерации в составах советов директоров (наблюдательных
 советов) акционерных обществ с государственным участием, являющихся
 заказчиками, закупочная деятельность которых подпадает под действие
 Федерального закона от 18июля 2011 г. № 223-ФЗ "О закупках товаров,
 работ, услуг отдельными видами юридических лиц", предусматривающая включение в программы повышения качества управления
 закупочной деятельности компаний из числа субъектов естественных монополий и
 компаний с государственным участием следующих показателей эффективности,
 связанных с обеспечением закупок у субъектов МСП:
 - прирост объема закупок у
 субъектов МСП;
 - увеличение количества
 участников закупок из числа субъектов МСП;
 - увеличение количества
 поставщиков из числа субъектов МСП и количества договоров, заключаемых с
 субъектами МСП; 
 - экономия средств заказчика при осуществлении
 закупок у субъектов МСП</t>
  </si>
  <si>
    <t>В результате реализации АО "Корпорация "МСП"
 и органами исполнительной власти субъектов Российской Федерации мероприятий,
 направленных на расширение доступа субъектов МСП, зарегистрированных на
 территории Дальневосточного федерального округа, к закупкам крупнейших
 заказчиков обеспечено увеличение суммарного годового объема закупок у субъектов
 МСП, зарегистрированных на территории Дальневосточного федерального округа,
 сформированных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 В целях
 сопоставления данных используются также данные Казначейства России</t>
  </si>
  <si>
    <t>В результате реализации АО "Корпорация "МСП"
 и органами исполнительной власти субъектов Российской Федерации мероприятий,
 направленных на расширение доступа субъектов МСП, зарегистрированных на
 территории Северо-Кавказского федерального округа, к закупкам крупнейших
 заказчиков обеспечено увеличение суммарного годового объема закупок у субъектов
 МСП, зарегистрированных на территории Северо-Кавказского федерального округа,
 сформированных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 В целях
 сопоставления данных используются также данные Казначейства России</t>
  </si>
  <si>
    <t>Подготовлен проект доклада в
 Правительство Российской Федерации в части рассмотрения возможности внесения
 изменений в Федеральный закон от 18 июля 2011 г. № 223-ФЗ "О закупках
 товаров, работ, услуг отдельными видами юридических лиц" и иные
 нормативные правовые акты, в части реализации крупнейшими заказчиками
 мероприятий, направленных на оказание финансовой, имущественной,
 информационной, маркетинговой и иной поддержки субъектов МСП в целях
 стимулирования их развития ("выращивания") в качестве поставщиков
 (исполнителей, подрядчиков) при осуществлении закупок товаров, работ, услуг
 В связи с внесением в законодательство Российской
 Федерации указанных изменений АО "Корпорация "МСП"
 доработает Методические рекомендации по
 вопросам оказания финансовой, имущественной, информационной, маркетинговой и
 иной поддержки субъектам малого и среднего предпринимательства в целях стимулирования
 их развития в качестве поставщиков (исполнителей, подрядчиков) при
 осуществлении закупок товаров, работ, услуг заказчиками, определенными
 Правительством Российской Федерации в соответствии с Законом №223-ФЗ,
 утвержденные решением Совета директоров АО "Корпорация "МСП"
 (протокол от 17ноября 2017 г. № 45)</t>
  </si>
  <si>
    <t>В целях встраивания
 российских субъектов МСП в цепочки поставок в целях
 повышения уровня локализации производства на территории Российской Федерации осуществлено взаимодействие с иностранными
 организациями, объединениями и институтами развития, ответственными за
 поддержку МСП, а также интернационализацию бизнеса, прежде всего в рамках
 действующих меморандумов и соглашений о сотрудничестве с АО "Корпорация "МСП",
 а также организовано взаимодействие с компаниями с иностранным участием,
 локализующими или планирующими локализовать производство на территории
 Российской Федерации</t>
  </si>
  <si>
    <t>С учетом предложений органов государственной власти
 субъектов Российской Федерации АО "Корпорация "МСП" сформирован
 реестр производственных субъектов МСП - потенциальных поставщиков крупнейших
 заказчиков</t>
  </si>
  <si>
    <t>Данный показатель рассчитывается как суммарный
 годовой объем закупок у субъектов МСП, сформированных на основании данных
 единой информационной системы в сфере закупок и Единого реестра субъектов МСП,
 ведение которого осуществляется ФНС России, а также данных годовых отчетов о
 закупке товаров, работ, услуг крупнейших заказчиков</t>
  </si>
  <si>
    <t>Создание системы акселерации субъектов малого и среднего предпринимательства, включая индивидуальных предпринимателей, в том числе инфраструктуры и сервисов поддержки, а также их ускоренное развитие в таких областях, как благоустройство городской среды, научно-технологическая сфера, социальная сфера и экология</t>
  </si>
  <si>
    <t>Проведена инвентаризация уже созданных объектов инфраструктуры для субъектов МСП, их
 заполненности, специализации, возможности расширения территории,
 территориальный охват. На основании данных анализа и с учетом мнения
 производственного бизнеса региона принято решение о строительстве новой
 производственной площадки (парка или технопарка) или о расширении уже
 существующей. К 2024 году в субъектах Российской Федерации создано не менее 129
 промышленных парков и технопарков. Общий объем инвестиций в основной капитал
 субъектов МСП - резидентов промышленных площадок составит 109,8 млрд. рублей к
 2024 году</t>
  </si>
  <si>
    <t>Разработан и утвержден комплект документов,
 устанавливающих единые требования для организации деятельности центров "Мой
 Бизнес", в том числе к единому фирменному стилю, в части организации
 пространства, регламенты предоставления услуг, единой автоматизированной
 системы, единого портала поддержки предпринимательства в субъектах Российской
 Федерации</t>
  </si>
  <si>
    <t>К 2024 году функционируют в субъектах Российской
 Федерации не менее 100 центров "Мой Бизнес", оказывающие комплекс
 услуг, сервисов и мер поддержки субъектам МСП.
 Реализованы специальные меры поддержки субъектов МСП, реализующих
 проекты в сфере благоустройства городской среды, научно-технологической сфере,
 социальной сфере и экологии для не менее, чем 68470 участников</t>
  </si>
  <si>
    <t>Разработаны программы обучения, повышения
 квалификации региональных (муниципальных) команд, сотрудников организаций
 инфраструктуры поддержки субъектов МСП в целях повышения качества
 предоставляемых субъектам малого и среднего предпринимательств государственных
 (муниципальных) услуг и мер поддержки. По разработанным программам обучились
 (повысили свою квалификацию) 5500 человек - членов региональных команд. К 2024
 году охват субъектов МСП услугами объектов инфраструктуры поддержки МСП
 увеличился до 10%</t>
  </si>
  <si>
    <t>АО "Корпорация "МСП", а также
 институтами развития в сфере инноваций оказана не менее 100субъектам МСП
 высокотехнологичных секторов экономики, в том числе внедряющим инновации,
 осуществляющим проекты в сфере импортозамещения и (или) производящим экспортную
 продукцию и услуги, поддержка, включая:
 - финансовую поддержку;
 - взаимодействие с крупнейшими заказчиками, а также
 заказчиками с иностранным участием в целях расширения доступа к закупкам;
 - проведение мероприятий по развитию ("доращиванию")
 в целях потенциального участия инновационных, высокотехнологичных субъектов МСП
 в закупках;
 - информационно-маркетинговую поддержку с
 использованием сервисов Портала Бизнес-навигатора МСП;
 - имущественную, консультационную, правовую и иную
 поддержку, предусмотренную законодательством Российской Федерации, в том числе
 доступ к программам льготного лизинга, реализуемым региональными лизинговыми
 компаниями, созданными с участием 
 АО "Корпорация "МСП"</t>
  </si>
  <si>
    <t>Предоставлены субсидии бюджетам субъектов Российской
 Федерации 
 на реализацию мероприятий по поддержке субъектов МСП, осуществляющих
 деятельность на территории моногородов.
 К 2024 году в рамках программы
 поддержки МСП в моногородах поддержка оказана 3614 субъектам МСП,
 осуществляющим деятельность на территории моногородов</t>
  </si>
  <si>
    <t>В 85 субъектах Российской Федерации реализована
  программа "Расширение использования
  франшиз в секторе МСП", в том числе:
  - предоставление льготных микрозаймов на покупку
  франшизы;
  - повышение информированности экономически активного
  населения о модели франчайзинга, доступном ассортименте предложений и путях
  развития франчайзингового бизнеса; 
  - передача технологий франчайзинга в компании,
  заинтересованные в создании и развитии собственных франшиз;
  - консультации и создание франчайзинговых пакетов
  для региональных предпринимателей на основе их успешно работающего бизнеса;
  - поиск местных брендов, которые могут стать
  франчайзерами и подготовка каталога успешных франшиз для предпринимателей;
  - оперативное консультирование бизнеса по вопросам
  развития франшизы;
  - обучение франчайзи, помощь с установлением деловых
  связей.
  К 2024 году создано не менее 120 региональных
  франшиз</t>
  </si>
  <si>
    <t>Федеральным государственным
 бюджетным учреждением "Фонд содействия развитию малых форм предприятий в
 научно-технической сфере" предоставлены гранты малым инновационным компаниям с обязательным созданием и (или)
 расширением производства инновационной продукции и ее последующей
 коммерциализацией.
 К 2024 году будет поддержано не менее 1276 субъектов малого
 инновационного предпринимательства</t>
  </si>
  <si>
    <t>Обеспечена
 реализация акселерационных программ в сфере социального предпринимательства с
 участием Фонда поддержки социальных проектов, при этом по итогам 2020 года: 
 −
 количество
 участников информационных мероприятий в сфере социального предпринимательства в
 субъектах Российской Федерации составило 100 000 человек;
 −
 количество
 участников предакселерационной программы составило не менее 3 000 человек;
 количество проектов,
 прошедших акселерацию, составило не менее 900 проектов​</t>
  </si>
  <si>
    <t>Модернизация системы поддержки экспортеров - субъектов малого и среднего предпринимательства</t>
  </si>
  <si>
    <t>Принят нормативный правовой акт, регулирующий порядок учета и сбора информации о количестве
 и объемах несырьевого экспорта товаров (работ, услуг) субъектов МСП-экспортеров
 без увеличения объема отчетности для субъектов МСП</t>
  </si>
  <si>
    <t>Кредитные и гарантийные продукты АО "Корпорация "МСП",
 АО "МСП Банк" включены в единый комплекс мер поддержки экспорта.
 Субъектам МСП - экспортно-ориентированным компаниям предоставлена возможность получения
 финансовой и гарантийной поддержки на
 цели развития своей деятельности</t>
  </si>
  <si>
    <t>Обеспечено взаимодействие федеральных и региональных институтов развития в целях оказания комплексной поддержки субъектам малого и среднего предпринимательства в сфере несырьевого экспорта в субъектах Российской Федерации, в которых одновременно осуществляют деятельность региональные подразделения АО «РЭЦ», региональные гарантийные организаций, региональные фонды развития промышленности (система «Инвестиционный лифт»)</t>
  </si>
  <si>
    <t>Разработан и внедрен
 регламент взаимодействия региональных институтов развития и организаций
 инфраструктуры поддержки экспортно - ориентированных субъектов МСП в субъектах Российской Федерации</t>
  </si>
  <si>
    <t>АО "Российский экспортный центр"
 осуществляет полномочия по оценке заявок субъектов Российской Федерации в части
 создания и развития центров поддержки экспорта (сбор, проверка полноты представленных
 документов, оформление заключения о соответствии заявки, согласование планов
 работ, показателей и иных документов, необходимых для работы центров,
 мониторинг)</t>
  </si>
  <si>
    <t>АО "Российский экспортный центр" в рамках
 Федерального закона от 24 июля 2007 г. №209-ФЗ "Оразвитии малого
 и среднего предпринимательства в Российской Федерации" наделен функцией
 координации работы инфраструктуры поддержки экспорта субъектов малого и
 среднего предпринимательства в субъектах Российской Федерации (центры поддержки
 экспорта), а также осуществления анализа результатов деятельности указанной
 инфраструктуры</t>
  </si>
  <si>
    <t>В
 2021 году во всех субъектах Российской Федерации обеспечен равный доступ
 субъектов малого и среднего предпринимательства к государственным мерам
 поддержки экспорта, в частности в 75 субъектах Российской Федерации созданы и
 осуществляют свою деятельность ЦПЭ, в других субъектах Российской Федерации
 обеспечена консультационная поддержка экспортеров.
 Количество субъектов МСП, заключивших контракты по экспорту при
 поддержке ЦПЭ, достигло 15,4 тыс.ед. (нарастающим итогом, начиная с 2018 года
 включительно) к 2024 году</t>
  </si>
  <si>
    <t>Не менее, чем 10 субъектами Российской Федерации
 направлены в акселерационные программы в "пилотном" режиме не менее
 50 компаний</t>
  </si>
  <si>
    <t>Разработаны показатели эффективности,
 характеризующие развитие экспорта малого и среднего предпринимательства в
 субъектах Российской Федерации (количество экспортеров МСП и объем несырьевого
 экспорта МСП субъектов Российской Федерации). Показатели включены субъектами
 Российской Федерации в региональные проекты развития экспорта</t>
  </si>
  <si>
    <t>​Система «Инвестиционный лифт» включена субъектами Российской Федерации в региональные проекты, обеспечивающие достижение целей, показателей и результатов федерального проекта «Системные меры развития международной кооперации и экспорта» в рамках внедрения Регионального экспортного стандарта 2.0 в 75 субъектах Российской Федерации</t>
  </si>
  <si>
    <t>Региональные программы развития сельскохозяйственной кооперации приведены в соответствие с доработанными Минсельхозом России совместно с АО "Корпорация "МСП" рекомендациями по разработке региональных программ развития сельскохозяйственной кооперации. Обеспечена реализация комплексных программ развития сельскохозяйственной кооперации в субъектах Российской Федерации.</t>
  </si>
  <si>
    <t>Стратегия, программа</t>
  </si>
  <si>
    <t>Реестр</t>
  </si>
  <si>
    <t>Разработан Стандарт центров компетенций в сфере сельскохозяйственной
 кооперации и поддержки фермеров (далее - Стандарт), включающий перечень услуг, оказываемых Центрами в целях создания и развития субъектов МСП в АПК, в том числе крестьянских (фермерских) хозяйств и сельскохозяйственных потребительских кооперативов, квалификацию персонала, необходимое техническое оснащение и т.п. Стандарт утвержден Проектным комитетом по национальному проекту "Малое и среднее предпринимательство и поддержка индивидуальной предпринимательской инициативы" и направлен в субъекты Российской Федерации для приведения деятельности Центров в соответствие с указанным Стандартом.</t>
  </si>
  <si>
    <t>Методика, стандарт</t>
  </si>
  <si>
    <t>Предоставлены иные межбюджетные трансферты субъектам Российской Федерации на создание системы поддержки фермеров и развитие сельской кооперации, включая оказание грантовой поддержки крестьянским (фермерским) хозяйствам (грант "Агростартап"), предоставление государственной поддержки сельскохозяйственным потребительским кооперативам и обеспечение деятельности и достижение показателей эффективности центров компетенций в сфере сельскохозяйственной кооперации и поддержки фермеров.</t>
  </si>
  <si>
    <t>Проработан вопрос усовершенствования мер поддержки, оказываемых сельскохозяйственным кооперативам и фермерам-членам сельскохозяйственных кооперативов, являющихся субъектами МСП, в том числе внесены изменения в действующие меры государственной поддержки, увеличен объем оказываемой поддержки. Утверждена новая редакция комплекса мер поддержки сельскохозяйственных кооперативов и фермеров-членов сельскохозяйственных кооперативов("коробочный продукт").</t>
  </si>
  <si>
    <t>Протокол</t>
  </si>
  <si>
    <t>АО "Корпорация "МСП" во взаимодействии с органами исполнительной власти субъектов Российской Федерации, Минсельхозом России, АО "МСП "Банк", крупнейшими заказчиками, закупающими сельскохозяйственную продукцию, организованы и проведены не менее 60 обучающих семинаров для субъектов МСП-сельскохозяйственных кооперативов по вопросам участия в закупках крупнейших заказчиков в соответствии с Федеральным законом от 18 июля 2011 г.№ 223-ФЗ "О закупках товаров, работ, услуг отдельными видами юридических лиц".</t>
  </si>
  <si>
    <t>Обучение/ Повышение квалификации</t>
  </si>
  <si>
    <t>Разработаны предложения по пропорциональному регулированию деятельности кредитных потребительских кооперативов и сельскохозяйственных кредитных потребительских кооперативов (СКПК) с учетом обсуждения, состоявшегося по итогам размещения для общественных консультаций доклада "Совершенствование регулирования деятельности субъектов микрофинансового рынка»1 .
 1 Режим доступа: http://www.cbr.ru/Content/Document/File/50668/Consultation_Paper_180802.pdf/</t>
  </si>
  <si>
    <t>К 2024 году в результате реализации мероприятий федерального проекта "Создание системы поддержки фермеров и развитие сельской кооперации"оказана государственная поддержка крестьянским (фермерским) хозяйствам, сельскохозяйственным потребительским кооперативам</t>
  </si>
  <si>
    <t>Предусмотрены специальные меры административной ответственности для сельскохозяйственных потребительских кооперативов, в том числе кредитных в части установления принципа соразмерности применений административных санкций в зависимости от объемов деятельности участников финансового рынка.</t>
  </si>
  <si>
    <t>Внесены изменения в Кодекс Российской Федерации об административных правонарушениях в части установления специального режима административной ответственности для сельскохозяйственных кооперативов, в том числе кредитных кооперативов.В результате внесения изменений введен принцип соразмерности применения административных санкций в зависимости от объемов деятельности специфичного участника финансового рынка - сельскохозяйственного кредитного потребительского кооператива, в том числе кредитного кооператива.</t>
  </si>
  <si>
    <t>Внесены поправки в Федеральный закон от 8 декабря 1995 г. № 193-ФЗ "О сельскохозяйственной кооперации" в части уточнения вопросов корпоративного управления, порядка ведения реестра членов и ассоциированных членов сельскохозяйственных кооперативов, реализации и предельных размеров субсидиарной ответственности в потребительских кооперативах, порядка реорганизации и ликвидации кооперативов, реализации действенной ответственности ревизионных союзов и их саморегулируемых организаций перед кооперативами и их членами за качество ревизионной, консультационной, экспертной работы и эффективности предупредительно-профилактических действий.</t>
  </si>
  <si>
    <t>Формирование положительного образа предпринимателя</t>
  </si>
  <si>
    <t>Проведено социологическое
 исследование, основными результатами которых станут:
 1.Для потенциальных предпринимателей (в
 разрезе каждой из целевых групп):
 выявлены факторы, определяющие интерес граждан РФ к предпринимательству;
 изучены драйверы, которые могут способствовать началу предпринимательской
 деятельности;
 проанализированы барьеры, препятствующие началу предпринимательской
 деятельности; 
 проанализированы компетенции, которые необходимо усилить для начала
 предпринимательской деятельности;
 выявлены наиболее эффективные каналы взаимодействия с потенциальными
 предпринимателями;
 2.Для действующих предпринимателей:
 выявлен уровень осведомленности о мерах государственной поддержки
 предпринимателей а также о рыночных инструментах привлечения финансирования;
 проанализирован опыт использования мер государственной поддержки
 предпринимателей,;
 выявлены барьеры, препятствующие использованию мер государственной поддержки
 предпринимателей;
 оценена эффективность мер государственной поддержки предпринимателей;
 выявлены факторы, способствующие/препятствующие росту предприятий МСП (от микро
 к малому, от малого к среднему);
 выявлена потребность в кадрах у предприятий малого и среднего бизнеса (необходимые
 специальности, компетенции).
 На основе проведенных
 исследований сформирован аналитический отчет, включающий: 
 рекомендации по формированию содержания эффективной
 информационно-пропагандисткой работы, целью которой является вовлечение граждан
 России в предпринимательскую деятельность.
 описание набора разработанных базовых и адаптированных индикаторов,
 определяющих уровень интереса граждан России к предпринимательской деятельности
 методическое пособие, включающее подробное описание процедур и набор инструкций
 по дальнейшему воспроизведению аналогичных исследований с целью проведения
 повторных волновых исследований уровня интереса россиян к предпринимательской
 деятельности и отслеживания динамических изменений</t>
  </si>
  <si>
    <t>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
 Количество вновь созданных субъектов МСП достигнет (нарастающим итогом) 
 62000 ед. в 2024 г.</t>
  </si>
  <si>
    <t>1.Основными
  принципами информационной кампании являются:
  использование единого фирменного стиля (брендбука);
  реализация взаимосвязанного комплекса мероприятий информационной кампании на
  федеральном и региональном уровнях;
  реализация единой региональной модели во всех субъектах Российской Федерации;
  единовременные активности в субъектах Российской Федерации;
  использование единого информационного контента в ходе реализации
  информационной кампании.
  2.Информационная кампания состоит из федеральной и региональной
  составляющих:
  2.1.Федеральная составляющая:
  привлечение к участию в проекте публичных лиц и известных предпринимателей (для
  каждой целевой группы населения) с целью трансляции историй их развития в
  качестве предпринимателя, мотивации населения к занятию предпринимательской
  деятельностью и участию в Проекте; 
  разработка сценария и создание мотивационных аудио и видеороликов для
  трансляции в федеральных средствах массовой информации;
  разработка сценариев телепередач, направленных на популяризацию
  предпринимательства;
  разработка дизайн-макетов материалов наружной рекламы;
  2.2.Региональная составляющая:
  план реализации информационной кампании в субъектах Российской Федерации
  (взаимосвязанный с планом проведения федеральной информационной кампанией). 
  3.Разработка федерального проекта, направленного на вовлечение молодежи
  в возрасте 14-17 лет в предпринимательство, включающего:
  обзор существующих программ и проектов в рамках указанной тематики;
  разработка проекта, направленного на работу с победителями и призерами
  существующих программ и проектов (проведение федерального конкурса,
  бизнес-лагеря и т.д.);
  4.Разработка комплексного плана по популяризации института самозанятых
  граждан, включающего продвижение образа самозанятого в социальных сетях,
  создание специализированных медиа-проектов, в том числе телевизионных
  проектов.
  Разработка комплексного медиаплана продвижения положительного образа
  предпринимательства, включающего:
  план продвижения в сети Интернет;
  план размещения материалов в федеральных средствах массовой информации;
  план продвижения платформы знаний и сервисов для предпринимателей dasreda.ru;
  план мероприятий (всероссийских конкурсов, форумов и т.д.) в рамках Проекта.Реализована Федеральная и
 региональная информационная кампания, разработанная в соответствии с п. 1.2.
 настоящего Паспорта.
 Количество физических лиц, принявших участие в федеральном проекте, достигнет
 (нарастающим итогом) 3140 тыс. чел. в 2024 г., в том числе: 
 в 2019 г. - 500 тыс. чел.;
 в 2020 г. - 1030 тыс. чел.;
 в 2021 г. - 1570 тыс. чел.;
 в 2022 г. - 2070 тыс. чел.;
 в 2023 г. - 2550 тыс. чел.;
 в 2024 г. - 2950 тыс. чел.</t>
  </si>
  <si>
    <t>Издан Указ Президента России об объявлении
 2020года - Годом предпринимательства 
 Разработан и утвержден межведомственный план мероприятий, реализуемых в рамках
 проведения Года предпринимательства</t>
  </si>
  <si>
    <t>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t>
  </si>
  <si>
    <t>Реализованы комплексные
 программы по вовлечению населения в предпринимательскую деятельность в
 субъектах Российской Федерации.
 Основные этапы:
 Информационная кампания, направленная на создание положительного образа
 предпринимателя, реализованная в соответствии с разработанной моделью,
 указанной в п. 1.2. настоящего Паспорта, в том числе реализация существующих
 программ и проектов в рамках указанной тематики;
 В субъектах Российской Федерации реализованы массовые обучающие программы,
 направленные на развитие надпрофессиональных компетенций у населения, в том
 числе реализация существующих программ и проектов в рамках указанной тематики;
 Проведены мероприятия, направленные на выявление у участников
 предрасположенностей к профессиональным навыкам и компетенциям;
 Проведены обучающие мероприятия, направленные на развитие предпринимательских и
 иных компетенций у участников проекта, в том числе реализация существующих
 программ и проектов в рамках указанной тематики;
 Проведены обучающие мероприятия для самозанятых граждан, в том числе
 разъясняющие особенности специального налогового режима для самозанятых
 граждан, предусмотренного пилотным проектом 
 и IT-форме, обеспечивающей постановку на учет
 самозанятых граждан и администрирование налога;
 Реализованы программы и проекты, направленные на вовлечение в
 предпринимательскую деятельность молодежи в возрасте 14 - 17 лет; 
 Проведены региональные этапы всероссийских и международных мероприятий
 (конкурсов, премий и т.д.);
 Реализованы проекты по наставничеству;
 Проведены публичные мероприятия (форумы, конференции, слеты и т.д.), для
 участников Проекта.
 Обеспечение участия предпринимателей - участников Проекта в международных
 экономических площадках.
 Количество вновь созданных субъектов МСП достигнет (нарастающим итогом) 62000
 ед. в 2024 г., в том числе: 
 в 2019 г. - 9000 ед.;
 в 2020 г. - 22500 ед.;
 в 2021 г. - 36000 ед.;
 в 2022 г. - 46000 ед.;
 в 2023 г. - 55000 ед.;
 в 2024 г. - 62000 ед.</t>
  </si>
  <si>
    <t>Реализованы образовательные программы, курсы, в том числе модульные, направленные на развитие предпринимательских компетенций для каждой целевой группы, в том числе для:
 действующих предпринимателей;
 школьников; 
 лиц в возрасте до 30 лет, в том числе студентов; 
 женщин; 
 военнослужащих, уволенных в запас; 
 лиц старше 45 лет;
 безработных;
 инвалидов;
 выпускники и воспитанники детских домов</t>
  </si>
  <si>
    <t>Реализованы обучающие программы, курсы, в том числе
 модульные, в том числе разработанные в соответствии с п. 2.3. настоящего
 Паспорта. 
 При реализации указанных программ в том числе привлечены тренеры, обученные в
 соответствии с п. 2.3. настоящего Паспорта</t>
  </si>
  <si>
    <t>Проведен анализ
 существующих обучающих программ для потенциальных и действующих
 предпринимателей. 
 По результатам проведенного анализа сформирован и утвержден Перечень
 рекомендуемых Программ для предпринимателей, реализуемых в рамках настоящего
 федерального проекта.
 Разработаны и включены в Перечень дополнительные программы для обучения целевых
 групп.
 Подготовлены к 2024 г. не менее 3900
 тренеров для последующего обучения в субъектах Российской Федерации целевых
 групп по утвержденным методикам, в том числе:
 2019 г. - 225 человек;
 2020 г. - 470 человек;
 2021 г. - 675 человек;
 2022 г. - 755 человек;
 2023 г. - 775 человек;
 2024 г. - 1000 человек</t>
  </si>
  <si>
    <t>Обучены основам ведения бизнеса, финансовой грамотности и иным навыкам предпринимательской деятельности к 2024 не менее 450 тыс. человек из целевых групп, в том числе:
 2019 год - 91 500 человек;
 2020 год - 95 550 человек;
 2021 год - 95 850 человек;
 2022 год - 61 425 человек;
 2023 год - 58 155 человек;
 2024 год - 50 680 человек</t>
  </si>
  <si>
    <t>Реализованы
  мероприятия по обучению участников Проекта основам ведения бизнеса,
  финансовой грамотности и иным навыкам в рамках обучающих программ, таких как:
  обучающие программы АО Корпорации МСП ("Азбука предпринимателя",
  "Мама-предприниматель", Школа предпринимательства, а так же
  отдельные обучающие модули по актуальным для предпринимателей темам), Банка
  России, 
  АО "Деловая Среда", ПАО "Сбербанк России", и др.
  обучающие программы.
  Обучены навыкам предпринимательской деятельности к 2024 не менее 450 тыс.
  человек из целевых групп, в том числе:
  2019 г. - 91500 человек;
  2020 г. - 95550 человек;
  2021 г. - 95850 человек;
  2022 г. - 61 425 человек;
  2023 г. - 58 155 человек;
  2024 г. - 50 680 человек</t>
  </si>
  <si>
    <t>Стимулирование предприятий к повышению производительности труда</t>
  </si>
  <si>
    <t>Развернута программа льготных займов, льготных кредитов и других мер финансового стимулирования для предприятий, соответствующих критериям по росту производительности труда</t>
  </si>
  <si>
    <t>Обеспечен доступ предприятиям - участникам национального проекта к льготному заемному финансированию (при среднем размере займа 100 млн. рублей займом смогут воспользоваться до 165 предприятий) с целью внедрения передовых технологических решений для повышения производительности труда и модернизации основных фондов</t>
  </si>
  <si>
    <t>Реализован механизм субсидирования процентных ставок по кредитам для субъектов МСП – участников национального проекта с учетом дополнительных критериев по росту производительности труда, на реализацию проектов по повышению производительности труда в приоритетных отраслях по льготной ставке (выдача кредитов с 2019 года, оценка востребованности и эффективности использования льготных кредитов, по итогам которой принято решение о целесообразности расширения данной программы - в 2021 году)</t>
  </si>
  <si>
    <t>Правилами предоставления субсидий из федерального бюджета российским кредитным организациям на возмещение недополученных ими доходов по кредитам, выданным субъектам малого и среднего предпринимательства на реализацию проектов в приоритетных отраслях по льготной ставке предусмотрена выдача кредитов предприятиям - участникам национального проекта на цели повышения производительности труда</t>
  </si>
  <si>
    <t>Дополнены показателями по производительности труда условия предоставления мер государственной поддержки</t>
  </si>
  <si>
    <t>Количество субъектов Российской Федерации, участвующих в предоставлении налоговых преференций предприятиям для стимулирования роста производительности труда, ед.</t>
  </si>
  <si>
    <t>Подготовлены предложения по проведению пилотных проектов, включая описание прилагаемых мер налогового стимулирования, направленных на стимулирование внедрения передовых управленческих, организационных и технологических решений для повышения производительности труда, и план реализации, а также проведен анализ результатов пилотных проектов постимулированию внедрения передовых управленческих, организационных и технологических решений для повышения производительности труда и модернизации основных фондов посредством налоговых префиренций. Отчет представлен на заседании Проектного комитета</t>
  </si>
  <si>
    <t>Подготовлен комплекс мер по нефинансовому стимулированию внедрения передовых управленческих, организационных и технологических решений для повышения производительности труда и модернизации основных фондов ( в том числе система национальных конкурсов; рейтинги по производительности труда субъектов Российской Федерации, отраслей, компаний; индивидуальные конкурсы по производительности труда; включение производительности труда в движение по волонтерству и наставничеству; знаки отличия по производительности и другие мероприятия)</t>
  </si>
  <si>
    <t>Разработана система нефинансовой мотивации предприятий к участию в национальном проекте, включая публичные мероприятия, вручение премий и наград для предприятий, руководящих сотрудников и работников</t>
  </si>
  <si>
    <t>Снижение административно-правовых ограничений для роста производительности труда</t>
  </si>
  <si>
    <t>Проведен сравнительный анализ российской и зарубежной регуляторной среды с точки зрения негативного влияния на производительность труда с целью выявления основных возможностей снижения административно-регуляторных издержек в сферах промышленной безопасности, трудового законодательства, технического регулирования, а также в базовых несырьевых отраслях</t>
  </si>
  <si>
    <t>Проведена научно-исследовательская работа с целью выявления возможности снижения административно-регуляторных издержек в сферах промышленной безопасности, трудовом законодательстве и техническом регулировании, торговле и сельском хозяйстве</t>
  </si>
  <si>
    <t>Проведен анализ, полученных от субъектов предпринимательской и иной экономической деятельности предложений по совершенствованию нормативного правового регулирования влияющего на производительность труда. По результатам анализа сформирован соответствующий перечень предложений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t>
  </si>
  <si>
    <t>Формирование системы подготовки кадров, направленной на обучение управленческого звена предприятий – участников национального проекта, а также служб занятости населения</t>
  </si>
  <si>
    <t>Профессиональная переподготовка 19,4 тысячи управленческих кадров, вовлеченных в реализацию национального проекта (нарастающим итогом).</t>
  </si>
  <si>
    <t>За период с 2019 по 2024 гг. профессиональную переподготовку
 пройдут 19,4 тысячи руководителей предприятий – участников национального
 проекта, а также руководителей служб занятости населения и других организаций. (3,2 в 2019
 году, 6,5 в 2020 году, 9,7 в 2021 году, 12,9 в 2022 году, 16,1 в 2023 году,
 19,4 в 2024 году). Минэкономразвития России совместно с всероссийской академией внешней торговли Минэкономразвития Россиисформирована программадополнительного профессионального образованиядля высших учебных
 заведений, направленная на обучение управлению в условиях масштабных
 организационных трансформаций, внедрения организационных и технологических
 инноваций, а также подготовку кадров в
 сфере производительности труда, обладающих навыками для построения
 производственных систем на основе лучших практик повышения производительности труда, в том числе АНО «ФЦК».</t>
  </si>
  <si>
    <t>Международное взаимодействие</t>
  </si>
  <si>
    <t>Подписаны меморандумы о взаимодействии со странами - лидерами в области повышения производительности труда</t>
  </si>
  <si>
    <t>Подписано не менее одного соглашения со
 странами-лидерами в области повышения производительности труда ежегодно, в
 котором обозначены мероприятия в области проведения обучающих семинаров,
 международных стажировок и конференций, программ экспертной поддержки</t>
  </si>
  <si>
    <t>Проведены международные стажировки для сотрудников предприятий - участников национального проекта</t>
  </si>
  <si>
    <t>Проводится ежегодное обучение не менее 300
 сотрудников предприятий - участников национального проекта на площадках
 международных предприятий - лидеров в области производительности труда</t>
  </si>
  <si>
    <t>Проведены программы экспертной поддержки предприятий - участников с привлечением международных партнеров</t>
  </si>
  <si>
    <t>На предприятиях - участниках национального проекта,
 реализующих проект самостоятельно, ежегодно проводится не менее одной программы
 технического аудита с привлечением международных экспертов в области
 производительности труда</t>
  </si>
  <si>
    <t>Методологическое сопровождение</t>
  </si>
  <si>
    <t>Методология расчета показателей производительности труда, разработанная в рамках приоритетной программы, доработана для целей национального проекта (в разрезе субъектов Российской Федерации, отраслей, предприятий)</t>
  </si>
  <si>
    <t>Разработан единый согласованный подход к расчету
 производительности труда в разрезе отраслей, предприятий и субъектов Российской
 Федерации для целей национального проекта</t>
  </si>
  <si>
    <t>Методика расчета показателей производительности труда утверждена нормативным правовым актом Минэкономразвития России</t>
  </si>
  <si>
    <t>Принят нормативный правовой акт Минэкономразвития
 России, определяющий методику расчета производительности труда в целях
 реализации национального проекта</t>
  </si>
  <si>
    <t>Поддержка выхода на внешние рынки: формирование систем методической и организационной поддержки в рамках начальной работы на внешних рынках в целях повышения производительности труда на предприятиях</t>
  </si>
  <si>
    <t>Предприятиям - участникам национального проекта оказана акселерационная поддержка по развитию экспортного потенциала</t>
  </si>
  <si>
    <t>С 2019
 по 2024 годы 2850 предприятий -участников национального проекта прошли
 обучение по программе поддержки развития экспортного потенциала (экспортного
 акселератора).
 АО «Российский экспортный центр» совместно с Минэкономразвития России
 отобрали и подготовили 40 экспертов для последующего масштабирования программы
 поддержки развития экспортного потенциала предприятий - участников национального
 проекта (экспортный акселератор)</t>
  </si>
  <si>
    <t>Формирование системы методической и организационной поддержки повышения производительности труда за счет внедрения инструментов автоматизации и использования цифровых технологий</t>
  </si>
  <si>
    <t>Разработана и проведена программа по поддержке внедрения автоматизации и использования цифровых технологий. Количество предприятий, прошедших программу</t>
  </si>
  <si>
    <t>Определены подходы и методы поддержки внедрения
 автоматизации и использования цифровых технологий для предприятий -участников
 национального проекта; отобраны предприятия для проведения пилотной программы
 внедрения автоматизации и использования цифровых технологий</t>
  </si>
  <si>
    <t>программа</t>
  </si>
  <si>
    <t>Работа на крупных государственных компаниях, компаниях с государственным участием</t>
  </si>
  <si>
    <t>Мероприятия по повышению производительности труда включены в долгосрочные программы развития (ДПР) крупных государственных компаний, компаний с государственным участием; в ДПР определены инструменты и ресурсы для повышения производительности труда и внедрены рекомендации установить целевые показатели роста не ниже 5% ежегодно</t>
  </si>
  <si>
    <t>В ДПР внесены изменения по включению мероприятий,
 направленных на повышение производительности труда в государственных компаниях
 и компаниях с государственным участием. Утверждены целевые показатели роста
 производительности</t>
  </si>
  <si>
    <t>Стимулирование субъектов Российской Федерации к повышению производительности труда через систему грантовой поддержки</t>
  </si>
  <si>
    <t>Принят документ,
  определяющий порядок работы субъектов Российской Федерации для возможности
  претендовать на получение грантов для обеспечения работы по
  производительности, включающий целевые показатели и индикаторы
  (количественные и качественные КПЭ), а также методики их определения.
  Разработаны правила использования полученных субъектами Российской Федерации
  грантов для целей дальнейшего роста производительности труда.</t>
  </si>
  <si>
    <t>Полученные гранты позволяют субъектам Российской Федерации снизить затраты бюджетов субъектов Российской Федерации на реализацию региональных проектов (программ) в части финансирования деятельности региональных центров компетенций, а также привлечения консультантов для работы с предприятиями субъектов Российской Федерации, внедряющих мероприятия по повышению производительности труда самостоятельно.</t>
  </si>
  <si>
    <t>Работа с партнерами</t>
  </si>
  <si>
    <t>Для вовлечения большего количества предприятий и достижения цели роста производительности труда на средних и крупных предприятиях базовых несырьевых отраслей на 5% к 2024 году ежегодно к реализации национального проекта привлечены не менее 10 партнеров.</t>
  </si>
  <si>
    <t>Формирование системы методической и организационной поддержки повышения производительности труда на предприятиях</t>
  </si>
  <si>
    <t>Созданы потоки-образцы по результатам оптимизации процесса
 (пилотного потока), успешно реализованы запланированные мероприятия,
 позволившие достичь установленных результатов в части сокращения времени
 протекания процесса, сокращения запасов в потоке, повышения выработки в потоке.
 На
 основании заявок от предприятий – участников национального проекта экспертами
 ФЦК проведены оценки наличия ключевых элементов производственной системы и
 достаточного уровня использования внутренних ресурсов. Положительные заключения
 ФЦК позволят предприятиям получить займы
 ФРП.
 Предприятия
 - участники национального проекта положительно оценивают работу экспертов ФЦК.
 Информационная
 поддержка проекта, включая проведение семинаров и конференций федерального и
 регионального уровня, организация спецпроектов по продвижению федерального
 проекта «Адресная поддержка повышения производительности труда на предприятиях»
 национального проекта «Производительность труда и поддержка занятости», освещение хода реализации проекта
 в федеральных и региональных средствах массовой информации, а также разработанные
 типовые (коробочные) решения и отчеты по анализу лучших российских и зарубежных
 практик по повышению производительности труда с учетом отраслевой специфики
 способствуют более широкой осведомленности предприятий целевой группы о
 возможностях повышения производительности труда.</t>
  </si>
  <si>
    <t>Экспертами ФЦК обучены сотрудники
 предприятий, внедряющих мероприятия национального проекта под федеральным
 управлением (с экспертами ФЦК, всего 2175 предприятий к 2024 г.). За счет
 обучения сотрудников предприятий - участников национального проекта (участники
 рабочих групп по потокам - образцам, сотрудники проектных офисов по внедрению
 инструментов повышения производительности труда и бережливого производства,
 руководство предприятий) и распространения знаний и навыков обеспечены устойчивые изменения на
 предприятиях в части повышения эффективности процессов и роста
 производительности туда. К 2024 году на 95% предприятиях, вовлеченных в национальный
 проект, прирост производительности труда составит 10%, 15%, 30% нарастающим
 итогом за первые три года участия в национальном проекте, в том числе за счет
 успешного тиражирования полученных знаний и опыта обученными сотрудниками
 предприятий. 
 Для того чтобы на предприятии были
 собственные ресурсы для обучения сотрудников методам повышения
 производительности труда с использованием инструментов бережливого производства, ФЦК реализует программу
 подготовки внутренних тренеров (для предприятий, внедряющих мероприятия проекта
 под федеральным управлением) по бережливому производству. Внутренний тренер -
 сотрудник предприятия, прошедший отбор и подготовку по программам ФЦК. Наличие
 внутренних тренеров позволяет предприятию тиражировать полученные знания, умения
 и опыт на другие производственные потоки благодаря обучению сотрудников.
 Предприятия, внедряющие
 мероприятия национального проекта самостоятельно (всего 4080 предприятий к 2024
 г.), также направляют своих сотрудников для обучения инструментам повышения
 производительности труда в ФЦК. Обучение может проводиться как в очной форме,
 так и дистанционно (благодаря созданной ИТ-платформе).
 В субъектах Российской Федерации -
 участниках национального проекта при поддержке ФЦК созданы РЦК для возможности
 тиражирования положительного опыта и подходов по повышению производительности
 труда на региональном уровне. ФЦК оказывает субъектам Российской Федерации поддержку при создании РЦК в части проведения отбора, обучения и оценки знаний и навыков сотрудников РЦК, необходимых для самостоятельной реализации проектов на предприятиях. Создание РЦК в субъектах Российской
 Федерации гарантирует достижение цели национального проекта по охвату 10 000
 предприятий, а также гарантирует устойчивый рост производительности труда на
 предприятиях в субъектах Российской Федерации.
 Экспертами ФЦК разработаны и переданы в РЦК и внутренним тренерам
 предприятий - участников национального проекта не менее 12 универсальных, практико-ориентированных обучающих методик, влияющих на повышение
 производительности труда</t>
  </si>
  <si>
    <t>Введена в эксплуатацию ИТ-платформа
 управленческих и технологических компетенций в сфере производительности труда
 (далее - ИТ-платформа), способствующая распространению знаний по повышению
 производительности труда. 
 Базовый функционал ИТ-платформы
 включает в себя: 
  блок "База знаний" (включая
 практические руководства, различные материалы и курсы по производительности
 труда, типовые решения по повышению производительности труда, решения/отчеты
 по анализу лучших российских и практик); 
  блок "Экспресс диагностика"
 (бенчмаркинг, инструментарий самооценки производственной системы предприятия);
  блок "Обучение"
 (дистанционное обучение сотрудников предприятий - участников национального
 проекта).
 ИТ-платформа используется, как
 инструмент тиражирования лучших российских и международных практик:
  на ИТ-платформе размещены
 материалы/курсы по производительности труда, доступные всем пользователям, не
 менее: 20 в 2019 году, 40 в 2020 году, 50 в 2021 году, 60 в 2022 году, 70 в
 2023 году, 80 в 2024 году;
 количество зарегистрированных пользователей
 ИТ-платформы достигло не менее, человек нарастающим итогом: 500 в 2018 году, 7
 970 в 2019 году, 17 410 в 2020 году, 30 920 в 2021 году, 47 470 в 2022 году, 65
 720 в 2023 году, 82 820 в 2024 году</t>
  </si>
  <si>
    <t>Определены цели, для достижения которых от предприятий требуется обязательное предоставление сертификатов производственной системы, на основании которых рассчитана потребность предприятий в сертификатах и проведена оценка необходимости и целесообразности увеличения количества выдаваемых сертификатов.</t>
  </si>
  <si>
    <t>Предложенный механизм софинансирования мероприятий по повышению производительности труда на предприятиях - участниках национального проекта позволит снизить расходы федерального бюджета и расходы бюджетов субъектов Российской Федерации на функционирование ФЦК и РЦК в пределах 20%.</t>
  </si>
  <si>
    <t>Экспертами РЦК обучены сотрудники
 предприятий, внедряющих мероприятия национального проекта под региональным
 управлением (с экспертами РЦК, всего 3745 предприятий к 2024 г.).
 За счет обучения сотрудников
 предприятий - участников национального проекта под региональным управлением (участники
 рабочих групп по потокам-образцам, сотрудники проектных офисов по внедрению
 инструментов повышения производительности труда и бережливого производства,
 руководство предприятий) и распространения знаний и навыков обеспечены устойчивые изменения на предприятиях
 в части повышения эффективности процессов и роста производительности туда. 
 На 95% предприятиях, вовлеченных в
 национальный проект, прирост производительности труда составит 10%, 15%, 30%
 нарастающим итогом за первые три года участия в национальном проекте, в том
 числе за счет успешного тиражирования полученных знаний и опыта обученными
 сотрудниками предприятий.</t>
  </si>
  <si>
    <t>Созданы потоки-образцы на предприятиях - участниках национального проекта под региональным управлением (совместно с экспертами региональных центров компетенций в сфере производительности труда), а также внедряющих мероприятия национального проекта самостоятельно (в том числе с привлечением консультантов), представляющие собой результат оптимизации производственных и/или вспомогательных процессов на базе сформированной инфраструктуры для развития производственной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t>
  </si>
  <si>
    <t>Созданы потоки-образцы по результатам оптимизации процесса
 (пилотного потока), успешно реализованы запланированные мероприятия,
 позволившие достичь установленных результатов в части сокращения времени
 протекания процесса, сокращения запасов в потоке, повышения выработки в потоке.Результат может быть достигнут по итогам реализации следующих
 мероприятий:а) Создание и обеспечение деятельности региональных центров
 компетенций в сфере производительности труда;
 б) Привлечение консультантов для работы на предприятиях,
 внедряющих мероприятия по повышению производительности труда;
 в) Создание и обеспечение деятельности «фабрики процессов»,
 представляющей собой площадку, обеспечивающую практическое обучение принципам и
 инструментам бережливого производства посредством имитации реальных
 производственных и вспомогательных процессов, но не более одной в субъекте
 Российской Федерации.
 Предприятия - участники
 национального проекта положительно оценивают работу экспертов РЦК.</t>
  </si>
  <si>
    <t>Формирование системы подготовки кадров, направленной на обучение основам повышения производительности труда, в том числе посредством использования цифровых технологий и платформенных решений</t>
  </si>
  <si>
    <t>Отчет по итогам мероприятий по
 поддержке занятости за предшествующий год, Перечень предложений по
 совершенствованию работы</t>
  </si>
  <si>
    <t>Утверждены обновленные рекомендации по проведению мероприятий по обучению работников предприятий - участников национального проекта</t>
  </si>
  <si>
    <t>Разработаны подходы к определению количества работников, находящихся под риском высвобождения, по резульататам реализации мерпориятий по повышению производительности труда на пилотных предприятиях, в целях превентивного осуществления действий по организации их трудоустройства</t>
  </si>
  <si>
    <t>Утверждена методология реализации мероприятий по трудоустройству высвобожденного персонала, в том числе план и организационно-правовая основа</t>
  </si>
  <si>
    <t xml:space="preserve">Определены уровни должностей и специализации работников предприятий - участников национального проекта, которые примут участие в мероприятиях по обучению 
</t>
  </si>
  <si>
    <t>К концу 2019 года не менее чем в 31 субъекте Российской Федерации - участниках национального проекта обучено не менее чем 18,4 тыс.работников предприятий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2019 годуК концу 2020 года не менее чем в 43 субъектах Российской Федерации - участниках национального проекта обучено не менее чем 34,0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2020 годуК концу 2021 года не менее чем в 57 субъектах Российской Федерации - участниках национального проекта обучено 50,6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2021 годуК концу 2022 года не менее чем в 71 субъекте Российской Федерации - участниках национального проекта обучено 67,2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2022 годуК концу 2023 года в 85 субъектах Российской Федерации - участниках национального проекта обучено не менее чем 83,8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2023 годуК концу 2024 года в 85 субъектах Российской Федерации - участниках национального проекта обучено не менее чем 100,4 тыс.работников предприятий (с 2019 года) для целей повышения производительности труда и поддержки занятости, данными субъектами Российской Федерации в Роструд направлены отчеты по количеству обученных в 2024 году</t>
  </si>
  <si>
    <t>Субъектами Российской Федерации - участниками национального проекта в Роструд направлены отчеты с оценкой уровня трудоустроенных работников участвующих предприятий из числа находящихся под риском увольнения и высвобожденных, Рострудом подготовлен итоговый отчет для планирования мерпориятий по поддержке занятости</t>
  </si>
  <si>
    <t>Определены уровни должностей и специализации работников предприятий - участников национального проекта, которые примут участие в мероприятиях по обучению</t>
  </si>
  <si>
    <t>Определены уровня должностей и специализации работников предприятий, находящихся под риском увольнения для планирования мероприятий по поддержке занятости</t>
  </si>
  <si>
    <t>В субъектах Российской Федерации - участниках национального проекта, где планируется обучение в текущем году, сформированы списки на обучение, выбраны обучающие курсы и обучающие организации</t>
  </si>
  <si>
    <t>В субъектах Российской Федерации - участниках национального проекта сформированы списки работников предприятий - участников мероприятий по обучению с указанием направлений обучения (и/или названий обучающих курсов) и организаций, которые будут проводить обучение</t>
  </si>
  <si>
    <t>Развитие инфраструктуры занятости</t>
  </si>
  <si>
    <t xml:space="preserve">Разработан проект единых требований к деятельности органов службы занятости, включая типовые решения и рекомендации для повышения эффективности работы центров занятости населения, стандарт модельного центра занятости, регламенты работы центров занятости, внедрение и организационно-методическое сопровождение функционирования автоматизированных информационных систем, создание и обеспечение работы каналов связи, программа переобучения для сотрудников </t>
  </si>
  <si>
    <t>​Создан проект единых требований к деятельности органов службы занятости для целей повышения эффективности работы и приведения качества деятельности центров занятости населения к единым высоким стандартам</t>
  </si>
  <si>
    <t>Сформирована и утверждена методика расчета показателя оценки удовлетворенности соискателей и работодателей услугами центров занятости населения</t>
  </si>
  <si>
    <t>Утверждена методика расчета показателя оценки удовлетворенности соискателей и работодателей услугами центров занятости населения для оценки результативности мероприятий по повышению эффективности центров занятости населения</t>
  </si>
  <si>
    <t>Количество центров занятости населения в субъектах Российской Федерации, в которых реализуются или реализованы проекты по модернизации</t>
  </si>
  <si>
    <t>Количество центров занятости населения в субъектах Российской Федерации, в которых реализованы пилотные проекты - не менее 66 к концу 2024 года</t>
  </si>
  <si>
    <t>Доля соискателей - получателей услуг по подбору вакансий центров занятости населения, в которых реализованы проекты по модернизации, удовлетворенных полученными услугами</t>
  </si>
  <si>
    <t>Доля работодателей -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t>
  </si>
  <si>
    <t>Доля работодателей -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 достиг 81 процентов к концу 2024 года</t>
  </si>
  <si>
    <t>В субъектах Российской Федерации - участниках национального проекта проведен аудит деятельности центров занятости населения и выявлены направления равития в соовтетствии с потребностью граждан, предприятий и учебных организаций</t>
  </si>
  <si>
    <t>Проведен анализ деятельности центров занятсоти населения в субъектах Российской Федерации, сформирован перечень направлений развития и предложения по проведению пилотных проектов</t>
  </si>
  <si>
    <t>В субъектах Российской Федерации утвержден перечень пилотных проектов по реализации мероприятий направленных на повышение эффективности деятельности центов занятости населения, в соответствии с едиными тербованиями к организации деятельности органов службы занятости по выявленным в ходе аудита проблемным областям их деятельности</t>
  </si>
  <si>
    <t>Создан перечень пилотных проектов в 16 субъектах Российской Федерации - участниках национального проекта в 2019 году</t>
  </si>
  <si>
    <t>В рамках пилотного проекта созадана система активного взаимодействия центров занятости населения с работодателями, в том числе из других субъектов Российской Федерации, в целях получения информации об актуальных вакансиях для целей трудоустройства работников предприятий - участников национального проекта</t>
  </si>
  <si>
    <t>Сформирована система активного взаимодействия центров занятости населения с работодателямиж. в том числе из других субъектов Российской Федерации, в целях получения информации об актуальных вакансиях для целей трудоустройтва работников предприятий - участников национального проекта, в том числе посредством информационно-технологических и/или организационных решений</t>
  </si>
  <si>
    <t>Утвержденный перечень ключенвых показателей эффективности работы центров занятости населения внедрен в центрах занятости населения, в которых реализуются пилотные проекты</t>
  </si>
  <si>
    <t>По результатам реализации пилотных проектов скорректированы типовые решения и рекомендации для повышения эффективности реаботы центров занятости населения, стандарт модельного центра занятости населения, регламенты работы центров занятости населения, внедрение и организационно-методчическое сопровожение функционирования автоматизированных информационных систем, программа переобучения для сотрудников</t>
  </si>
  <si>
    <t>Актуализированы единые требования к деятельности органов службы занятости населения для целей эффективности работы и приведения качества услуг в единым высоким стандартам</t>
  </si>
  <si>
    <t>Подведены итоги пилотирования подходов. По результатам проведенных пилотных проектов определены необходимые финансовые затраты для модернизации центра занятости населения и тиражирования новой модели центра занятости населения в субъекте Российской Федерации, утвержден обновленный порядок финансирования</t>
  </si>
  <si>
    <t>Подготовлен отчет по итогам проведения пилотных проектов для целей корректировки стандартов работы, уточнения потребности в финансовых ресурсах и утвержден обновленный порядок финансирования</t>
  </si>
  <si>
    <t>Созданы комплексные методические материалы по тиражированию практик модельного центра занятости населения, включая требования к программному обеспечению и единому бренду</t>
  </si>
  <si>
    <t>Утверждены методические материалы по тиражированию лучших практик работы центра занятости населения</t>
  </si>
  <si>
    <t>Начато масштабирование новой модели центров занятости населения на основе выработанных в ходе пилотных проектов рекомендаций в субъектах Российской Федерации - участниках национального проекта</t>
  </si>
  <si>
    <t>Начато распространение лучших практик и единых стандартов работы в пилотных субъектах Российской Федерации</t>
  </si>
  <si>
    <t>В субъектах Россисйкой Федерации модернизированы механизмы профилирования, мониторинга трудоустройства работников - участников мероприятий</t>
  </si>
  <si>
    <t>В пилотных субъектах модернизирована система работы центров занятости населения, нацеленная на проактивность дейсвтий, профилирование клиентов и мониторинг трудоустройства</t>
  </si>
  <si>
    <t>Сформированы предложения по формированию системы планирования и прогнозирования потребности экономики пилотных субъектов в кадрах</t>
  </si>
  <si>
    <t>Отчет по реализации тиражирования в пилотных субъектах Российской Федерации, перечень предложений по совершенствованию работы, скорректированный план работы по дальнейшему тиражированию</t>
  </si>
  <si>
    <t>Сорректированы и утверждены методологические материалы по тиражированию лучших практик работы центров занятости населения</t>
  </si>
  <si>
    <t>Завершение формирования сети медицинских организаций первичного звена здравоохранения с использованием в сфере здравоохранения геоинформационной системы с учетом необходимости строительства врачебных амбулаторий, фельдшерских и фельдшерско-акушерских пунктов в населенных пунктах с численностью населения от 100 человек до 2 тыс. человек, а также с учетом использования мобильных медицинских комплексов в населенных пунктах с численностью населения менее 100 человек</t>
  </si>
  <si>
    <t>Созданы/заменены более 1550 новых фельдшерских, фельдшерско-акушерских пунктов, врачебных амбулаторий</t>
  </si>
  <si>
    <t>​Органами исполнительной власти субъектов Российской Федерации в течение 2019 года:за счет средств региональных бюджетов будут подготовлены участки для создания или замены фельдшерских, фельдшерско-акушерских пунктов, врачебных амбулаторий и подведены коммуникации, проведены мероприятия по обеспечению фельдшерских, фельдшерско-акушерских пунктов и врачебных амбулаторий медицинским персоналом;будут проведены конкурсные процедуры и заключены государственные контракты для создания или замены более 350 фельдшерских, фельдшерско-акушерских пунктов, врачебных амбулаторий;будут осуществлены мероприятия к получению лицензии на осуществление медицинской деятельности.Органами исполнительной власти субъектов Российской Федерации в первой половине 2020 года будут:за счет средств региональных бюджетов подготовлены участки для создания или замены фельдшерских, фельдшерско-акушерских пунктов, врачебных амбулаторий и подведены коммуникации, проведены мероприятия по обеспечению фельдшерских, фельдшерско-акушерских пунктов и врачебных амбулаторий медицинским персоналом;проведены конкурсные процедуры и заключены государственные контракты для замены более 1 200 фельдшерских, фельдшерско-акушерских пунктов, врачебных амбулаторий.Созданные или замененные фельдшерские, фельдшерско-акушерские пункты, врачебные амбулатории будут подготовлены к получению лицензии на осуществление медицинской деятельности.</t>
  </si>
  <si>
    <t>Введено в действие более 40 фельдшерско-акушерских пунктов и (или) офисов врачей общей практики в сельской местности</t>
  </si>
  <si>
    <t>​Минсельхозом России в первом квартале 2019 года будут заключены
 соглашения с субъектами Российской Федерации
 о предоставлении субсидий из федерального бюджета бюджетам субъектов Российской
 Федерации на развитие сети фельдшерско-акушерских пунктов и (или) офисов врачей
 общей практики в сельской местности. 
 В субъектах Российской Федерации будут построено
 или реконструировано до конца 2019 года более 40 фельдшерско-акушерских пунктов
 и (или) офисов врачей общей практики в сельской местности.</t>
  </si>
  <si>
    <t>Функционируют более 500 мобильных медицинских комплексов, приобретенных в 2019 году</t>
  </si>
  <si>
    <t>​В 34 субъектах Российской Федерации в первом квартале 2020 года будут
 разработаны и утверждены планы-графики работы передвижных медицинских
 комплексов, в том числе в населенных пунктах до 100 человек.Органами исполнительной власти субъектов Российской Федерации в 2020
 году будет обеспечено выполнение утвержденных планов-графиков работы. 
 Будет обеспечена доступность первичной медико-санитарной помощи для всех
 граждан, проживающих в населенных пунктах с числом жителей до 100 человек в
 этих регионах</t>
  </si>
  <si>
    <t>Функционируют более 1550 созданных/замененных в 2019-2020 годах фельдшерских, фельдшерско-акушерских пунктов, врачебных амбулаторий, оснащенных в соответствии с Положением об организации оказания первичной медико-санитарной помощи взрослому населению, утвержденным приказом Минздравсоцразвития России от 15 мая 2012 года № 543н (далее - Положение)</t>
  </si>
  <si>
    <t>​Органы исполнительной власти субъектов Российской Федерации обеспечат получение лицензий на осуществление медицинской деятельности созданными/замененными в 2019-2020 годах фельдшерскими, фельдшерско-акушерскими пунктами, врачебными амбулаториями.Комиссиями по разработке территориальной программы обязательного медицинского страхования будут предоставлены на 2020, 2021 год в рамках территориальной программы обязательного медицинского страхования объемы медицинской помощи медицинским организациям, имеющим в своем составе указанные подразделения.В созданных/замененных в 2019-2020 годах фельдшерских, фельдшерско-акушерских пунктах, врачебных амбулаториях будет начато оказание медицинской помощи.</t>
  </si>
  <si>
    <t>В схемы территориального планирования 85 субъектов Российской Федерации и геоинформационную систему Минздрава России включены сведения о медицинских организациях, оказывающих первичную медико-санитарную помощь</t>
  </si>
  <si>
    <t>Органы исполнительной власти субъектов Российской
 Федерации обеспечат в 2019 году принятие в соответствии 
 с положениями Градостроительного кодекса Российской Федерации нормативных
 правовых актов субъектов Российской Федерации об утверждении схем
 территориального планирования субъектов Российской Федерации, в которые
 включены сведения о существующих и планируемых для размещения медицинских
 организациях, оказывающих первичную медико-санитарную помощь, в том числе в
 виде карт.</t>
  </si>
  <si>
    <t>Построено (реконструировано) не менее 78 вертолетных (посадочных) площадок при медицинских организациях или на расстоянии, соответствующему не более чем 15 минутному доезду на автомобиле скорой медицинской помощи.</t>
  </si>
  <si>
    <t>​Органами
 исполнительной власти субъектов Российской Федерации по согласованию с
 Минздравом России в 2019 году будет определена потребность в данном виде работ,
 осуществлён выбор местоположения вертолетных площадок, будут определены
 источники финансирования (за счет средств бюджетов субъектов Российской
 Федерации, или с использованием механизмов государственно-частного партнерства,
 или с привлечением средств инвесторов), при необходимости будут приняты
 нормативные правовые акты субъектов Российской Федерации.Также
 в 2019 году и в первой половине 2020 года будет завершен подготовительный этап
 работ по строительству/реконструкции вертолетных площадок или развертыванию
 сборно-разборных мобильных посадочных комплексов (выбор участка, определение
 подрядчика, разработка и согласование ПСД
 на строительство/реконструкцию).
 До конца 2020 года будут выполнены работы 
 по строительству/реконструкции вертолетных площадок 
 или развертыванию сборно-разборных мобильных посадочных комплексов.</t>
  </si>
  <si>
    <t>Функционируют более 1200 созданных в 2020 году фельдшерских, фельдшерско-акушерских пунктов, врачебных амбулаторий, оснащенных в соответствии с Положением</t>
  </si>
  <si>
    <t>​Органы исполнительной власти субъектов Российской Федерации обеспечат
 получение лицензий на осуществление медицинской деятельности созданными в 2020
 году фельдшерскими, фельдшерско-акушерскими пунктами, врачебными амбулаториями.Комиссиями по разработке территориальной программы обязательного
 медицинского страхования будут предоставлены на 2021 год в рамках
 территориальной программы обязательного медицинского страхования объемы
 медицинской помощи медицинским организациям, имеющим в своем составе указанные
 подразделения.
 В созданных в 2020 году фельдшерских, фельдшерско-акушерских пунктах,
 врачебных амбулаториях будет начато оказание медицинской помощи.</t>
  </si>
  <si>
    <t>Функционируют более 500 мобильных медицинских комплексов, приобретенных в 2020 году</t>
  </si>
  <si>
    <t>​В 23 субъектах Российской Федерации в первом квартале 2021 года будут
 разработаны и утверждены планы-графики работы передвижных медицинских
 комплексов, в том числе
 в населенных пунктах до 100 человек. 
 Органами исполнительной власти субъектов Российской Федерации будет
 обеспечено выполнение утвержденных планов-графиков работы. 
 Будет обеспечена доступность первичной медико-санитарной помощи для всех
 граждан, проживающих в населенных пунктах с числом жителей до 100 человек в
 этих регионах.</t>
  </si>
  <si>
    <t>Приобретено более 1300 мобильных медицинских комплексов</t>
  </si>
  <si>
    <t>​Органами государственной власти 34 субъектов Российской Федерации в
 течение первого полугодия 2019 года будут определены медицинские организации, в
 которые планируется поставка передвижных медицинских комплексов для оказания
 доврачебной и врачебной медико-санитарной помощи, проведения диспансеризации и
 профилактических осмотров, будут проведены конкурсные процедуры и заключены
 договоры на поставку передвижных медицинских комплексов.
 Приобретенные передвижные медицинские комплексы,
 до конца 2019 года будут переданы в медицинские организации.Органами государственной власти 23 субъектов
 Российской Федерации в первом полугодии 2020 года будут определены медицинские
 организации, в которые планируется поставка передвижных медицинских комплексов
 для оказания доврачебной и врачебной медико-санитарной помощи, проведения
 диспансеризации, профилактических осмотров, заключены договоры на поставку
 передвижных медицинских комплексов. Приобретенные передвижные медицинские
 комплексы до конца 2020 года будут переданы в медицинские организации.Органами государственной власти 24 субъектов Российской Федерации в
 первой половине 2021 года будут определены медицинские организации, в которые
 планируется поставка передвижных медицинских комплексов для оказания
 доврачебной и врачебной медико-санитарной помощи, проведения диспансеризации и
 профилактических осмотров, заключены договоры на поставку передвижных
 медицинских комплексов. 
 Приобретенные передвижные медицинские комплексы до конца 2021 года будут
 переданы в медицинские организации</t>
  </si>
  <si>
    <t>Созданы региональные системы диспетчеризации скорой медицинской помощи, в рамках решения задачи 1.4 федерального проекта "Создание единого цифрового контура в здравоохранении на основе единой государственной информационной системы здравоохранения (ЕГИСЗ)"</t>
  </si>
  <si>
    <t>​Во всех субъектах Российской Федерации в 2021 году с целью повышения
 эффективности работы и оперативности реагирования санитарной авиации будут
 проведены работы по внедрению автоматизированных систем диспетчеризации,
 позволяющих автоматизировать процессы приема и распределения вызовов.
 Достижение указанных результатов обеспечивается в рамках решения задачи
 1.4. федерального проекта «Создание единого цифрового контура в здравоохранении
 на основе единой государственной информационной системы здравоохранения
 (ЕГИСЗ)»</t>
  </si>
  <si>
    <t>Функционируют более 300 мобильных медицинских комплексов, приобретенных в 2021 году</t>
  </si>
  <si>
    <t>​В 24 субъектах Российской Федерации в первом квартале 2022 года будут
 разработаны и утверждены планы-графики работы передвижных медицинских
 комплексов, в том числе в населенных пунктах до 100 человек.Органами исполнительной власти субъектов Российской Федерации будет
 обеспечено выполнение до конца 2022 года утвержденных планов-графиков работы. 
 Будет обеспечена доступность первичной медико-санитарной помощи для всех
 граждан, проживающих в населенных пунктах с числом жителей до 100 человек в
 этих регионах.</t>
  </si>
  <si>
    <t>Выполнено не менее 12 500 вылетов санитарной авиации дополнительно к вылетам, осуществляемым за счет собственных средств бюджетов субъектов Российской Федерации</t>
  </si>
  <si>
    <t>​Минздравом России разработана типовая стратегия развития санитарной авиации.На основании типовой стратегии субъектами Российской Федерации,
 участвующими в реализации мероприятий, разработаны и утверждены
 региональные стратегии развития санитарной авиации на период до 2024 года. 
 Субъектами Российской Федерации, участвующимив реализации мероприятия, в период с 2019 по 2024 годы будут заключены государственные контракты на закупку
 авиационных работ в целях оказания медицинской помощи, что позволит выполнить за 2019 год дополнительно не менее чем 7 500 вылетов и эвакуировать не менее 9 800 пациентов, нуждающихся в
 оказании скорой специализированной помощи, в 2020 году выполнитьдополнительно не менее чем 8 500 вылетов и эвакуировать не менее 10 600 пациентов, в 2021 году выполнить дополнительно не менее чем 9 500
 вылетов и эвакуировать не менее 11 700 пациентов, в 2022 году выполнитьдополнительно не менее чем 10
 500 вылетов и эвакуировать не менее 13 000 пациентов, в 2023 годувыполнить дополнительно не менее чем 11
 500 вылетов и эвакуировать не менее 14 200 пациентов, а 2024 году выполнить дополнительно не менее чем 12 500 вылетов
 и эвакуировать не менее 15 500 пациентов.</t>
  </si>
  <si>
    <t>Оптимизация работы медицинских организаций, оказывающих первичную медико-санитарную помощь, сокращение времени ожидания в очереди при обращении граждан в указанные медицинские организации, упрощение процедуры записи на прием к врачу</t>
  </si>
  <si>
    <t>Подготовлено описание "Новой модели медицинской организации"</t>
  </si>
  <si>
    <t>​Приказом Минздрава России
 на базе подведомственного Минздраву России ФГБУ будет создан Центр организации
 первичной медико-санитарной помощи (далее – ЦПМСП).В 2019 году ЦПМСП в
 соответствии с поручением Минздрава России будет подготовлено и направлено в
 субъекты Российской Федерации описание «Новой модели медицинской организации,
 оказывающей первичную медико-санитарную помощь» (далее – «Новая модель
 медицинской организации»). 
 Основные направления, которые
 будут реализованы в проекте: перераспределение нагрузки между врачом и средним
 медицинским персоналом; 
 оптимизированная логистика
 движения пациентов
 с разделением потоков на больных и здоровых; 
 переход на электронный
 документооборот, сокращение бумажной документации; открытая и вежливая
 регистратура; 
 комфортные условия для
 пациента в зонах ожидания; 
 организация диспансеризации и профилактических осмотров на принципах
 непрерывного потока пациентов с соблюдением нормативов времени приема на одного
 пациента, внедрение мониторинга соответствия фактических сроков ожидания
 оказания медицинской помощи врачом с момента обращения пациента в медицинскую
 организацию установленным срокам ожидания в соответствии с Программой
 государственных гарантий бесплатного оказания гражданам медицинской помощи.</t>
  </si>
  <si>
    <t>В создании и тиражировании "Новой модели медицинской организации, оказывающей первичную медико-санитарную помощь", участвуют не менее 72,3% медицинских организаций, оказывающих данный вид помощи</t>
  </si>
  <si>
    <t>В 85 субъектах Российской Федерации созданы региональные проектные офисы по созданию и внедрению "Новой модели медицинской организации, оказывающей первичную медико-санитарную помощь"</t>
  </si>
  <si>
    <t>​В 85 субъектах
 Российской Федерации в первом квартале 2019 года будут приняты нормативные
 правовые акты, регламентирующие создание региональных проектных офисов.
 Субъектами Российской Федерации будут созданы
 региональные проектные офисы, на которые нормативными правовыми актами будут
 возложены функции по методической поддержке и координации работы медицинских
 организаций, образовательных организаций, территориальных фондов ОМС,
 территориальных органов Росздравнадзора по проведению анализа организации
 первичной медико-санитарной помощи
 в субъектах Российской Федерации, участвовать в разработке мер по устранению
 типовых проблем в медицинских организациях – участниках проекта, организации
 апробации принципов бережливого производства, создании «Новой модели
 медицинской организации», осуществлять сбор информации
 от медицинских организаций, участвующих в проекте,
 для представления в ЦПМСП, обеспечивать тиражирование лучших практик в границах
 субъекта Российской Федерации.</t>
  </si>
  <si>
    <t>​В 85 субъектах
 Российской Федерации будут утверждены перечни медицинских
 организаций, участвующих в создании и тиражировании «Новой модели медицинской
 организации, оказывающей первичную медико-санитарную помощь» на основании
 описания, разработанного ЦПМСП.При методической
 поддержке ЦПСМП в медицинских организациях будут проведены мероприятия по
 внедрению «Новая модель медицинской организации, оказывающей первичную
 медико-санитарную помощь». 
 Сведения о
 реализованных проектах будут представлены органами
 исполнительной власти субъектов Российской Федерации в Минздрав России. 
 ЦПМСП на основании
 представленной информации проведет доработку критериев «Новой
 модели медицинской организации, оказывающей первичную медико-санитарную
 помощь».</t>
  </si>
  <si>
    <t>Обеспечение методической поддержки и координация реализации федерального проекта "Развитие системы оказания первичной медико-санитарной помощи"</t>
  </si>
  <si>
    <t>Созданный на базе подведомственного Минздраву России ФГБУ Центр
 организации первичной медико-санитарной помощи (далее – ЦПМСП) будет
 осуществлять организационную и методическую поддержку, координацию и мониторинг
 реализации федерального проекта, а также обеспечитподготовку и
 направление всубъекты Российской Федерации описание «Новой модели
 медицинской организации, оказывающей первичную медико-санитарную помощь», и на
 основании анализа результатов ее внедрения (апробации) в субъектах Российской
 Федерации будет осуществлять ее доработку.</t>
  </si>
  <si>
    <t>В медицинских организациях, подведомственных ФМБА России и оказывающих первичную медико- санитарную помощь, внедрена «Новая модель медицинской организации, оказывающей первичную медико-санитарную помощь».</t>
  </si>
  <si>
    <t>ФМБА России
 утверждена дорожная карта реализации проекта «Новая модель медицинской
 организации, оказывающей первичную медико-санитарную помощь» в подведомственных
 медицинских организациях, оказывающих данный вид помощи.
 ФМБА России доведены
 субсидии на иные цели за счет средств федерального бюджета, предусмотренных
 ФМБА России на указанные цели, до медицинских организаций, подведомственных ФМБА
 России и участвующих во внедрении «Новой модели медицинской организации,
 оказывающей первичную медико-санитарную помощь».
 Медицинскими организациями,
 подведомственными ФМБА России и участвующими во внедрении «Новой модели
 медицинской организации, оказывающей первичную медико-санитарную помощь»,
 представлены в ФМБА России сведения о результатах внедрения.</t>
  </si>
  <si>
    <t>Формирование системы защиты прав пациентов</t>
  </si>
  <si>
    <t>Внедрена система информирования граждан, застрахованных в системе обязательного медицинского страхования, о правах на получение бесплатной медицинской помощи (доля лиц, получающих информацию, от общего числа застрахованных лиц), % нарастающим итогом</t>
  </si>
  <si>
    <t>​Страховые медицинские организации проинформируют застрахованных лиц старше 18 лет о праве на прохождение профилактического медицинского осмотра. Будет обеспечен охват граждан профилактическими медицинскими осмотрами.</t>
  </si>
  <si>
    <t>В законодательство Российской Федерации об обязательном медицинском страховании внесены изменения, направленные на защиту прав пациентов</t>
  </si>
  <si>
    <t>В 2020 году Минздравом России и ФОМС будут внесеныизменения в законодательство об организации  страхового дела и об обязательном медицинском страхованиив. Все страховые медицинские организации будут осуществлять защиту прав застрахованных лиц на территории всех субъектов Российской Федерации: в 36 субъектах Российской Федерации в 2020 году; 48 субъектов в 2021 году; 60 субъекта в 2022 году; 73 субъекта в 2023 году; 85 субъектов и г. Байконур в 2024 году.
 В целях оценки условий пребывания пациентов в медицинских
 организациях, предотвращения рисков взимания платы
 за гарантированную бесплатную помощь в медицинских организациях, оказывающих в
 рамках обязательного медицинского страхования первичную медико-санитарную
 помощь, на базе медицинских организаций страховыми медицинскими организациями
 будут созданы каналы оперативной связи граждан со страховыми представителями
 страховых медицинских организаций - 30,7 % в 2019 году, 47,8 % в 2020 году, 55,0
 % в 2021 году, 60,9 % в 2022 году, 67,2 % в 2023 году, 72,9 % в 2024 году.
 Страховыми медицинскими организациями в 2019 – 2024
 годах будет осуществляться досудебное урегулирование претензий застрахованных
 лиц к медицинским организациям
 по результатам оказания им медицинской помощи. Будут урегулированы страховыми
 медицинскими организациями
 в досудебном порядке 56,6 % в 2019 году, 60,6% в 2020 году, 65,1% в 2021 году,
 69,1% в 2022 году, 73,1% в 2023 году, 77,1% в 2024 году обоснованных жалоб
 пациентов от общего количества поступивших жалоб.</t>
  </si>
  <si>
    <t>Разработка и реализация программ борьбы с сердечно-сосудистыми заболеваниями</t>
  </si>
  <si>
    <t>В 85 субъектах Российской Федерации разработаны и утверждены региональные программы "Борьба с сердечно-сосудистыми заболеваниями"</t>
  </si>
  <si>
    <t>Министерством здравоохранения Российской
 Федерации на базе подведомственного федерального учреждения будет создан
 координационный центр 
 для обеспечения разработки и реализации региональных программ «Борьба с
 сердечно-сосудистыми заболеваниями», которым будут разработаны требования к
 региональным программам «Борьба с сердечно-сосудистыми заболеваниями» (далее –
 требования), предусматривающие реализацию комплекса мер, направленных в том
 числе на совершенствование первичной профилактики сердечно-сосудистых
 заболеваний, своевременное выявление факторов риска, включая артериальную
 гипертонию, и снижение риска ее развития, вторичную профилактику осложнений
 сердечно-сосудистых заболеваний, повышение эффективности оказания медицинской
 помощи больным с сердечно-сосудистыми заболеваниями, в том числе
 совершенствование организации службы скорой медицинской помощи,
 предусматривающее создание единой центральной диспетчерской в каждом из регионов, информирование населения о симптомах острого нарушения мозгового
 кровообращения и острого коронарного синдрома, правилах действий больных и их окружающих при развитии неотложных состояний, совершенствование схем
 маршрутизации, внедрение 
 и увеличение объемов применения высокоэффективных методов лечения,
 совершенствование медицинской реабилитации, кадровое обеспечение первичных
 сосудистых отделений и региональных сосудистых центров и повышение профессиональной квалификации, участвующих в оказании медицинской
 помощи больным 
 с сердечно-сосудистыми заболеваниями.Во всех субъектах Российской Федерациина основании требований будут разработаны и утверждены региональные программы «Борьба
 с сердечно-сосудистыми заболеваниями».Координационным центром будет осуществляться мониторинг реализации мероприятий региональных программ, по результатам которого ежегодно будет составляться отчет, содержащий рекомендации о дальнейшей корректировке и реализации мероприятий.По итогам 2024 года координационным центром будет сформирован итоговый отчет о результатах реализации региональных программ «Борьба с сердечно-сосудистыми заболеваниями» и их эффективности.</t>
  </si>
  <si>
    <t>Проводится профилактика развития сердечно-сосудистых заболеваний и сердечно-сосудистых осложнений у пациентов высокого риска</t>
  </si>
  <si>
    <t>В рамках национального проекта «Здравоохранение» будут реализованы мероприятия федерального проекта «Борьба с сердечно-сосудистыми заболеваниями»,направленные на обеспечение в амбулаторных условиях лекарственными препаратами граждан, которым были выполнены аорто-коронарное шунтирование,ангиопластика коронарных артерий со стентированием и катетерная аблация, перенесших острое нарушение мозгового кровообращения, инфаркт миокарда.В рамках национального проекта «Демография» будут реализованы мероприятия федерального проекта «Формирование системы мотивации граждан к здоровому образу жизни,включая здоровое питание и отказ от вредных привычек», направленные на формирование среды, способствующей ведению гражданами здорового образа жизни,включая здоровое питание (в том числе ликвидацию микронутриентной недостаточности, сокращение потребления соли и сахара), защиту от табачного дыма,снижение потребления алкоголя, мотивирование граждан к ведению здорового образа жизни посредством проведения информационно-коммуникационной кампании,вовлечение граждан и некоммерческих организаций в мероприятия по укреплению общественного здоровья, а также разработку и внедрение корпоративных программ укрепления здоровья. инетов медицинской профилактики и школ пациентов.</t>
  </si>
  <si>
    <t>Обеспечение качества оказания медицинской помощи больным с сердечно-сосудистыми в соответствии 
 с клиническими рекомендациями</t>
  </si>
  <si>
    <t>Министерством здравоохранения Российской
 Федерации организована разработка клинических
 рекомендаций и стандартов оказания медицинской помощи больным с
 сердечно-сосудистыми заболеваниями. 
 В рамках национального проекта «Здравоохранение» будут
 реализованы мероприятия федерального проекта «Развитие
 сети национальных медицинских исследовательских центров и внедрение
 инновационных медицинских технологий», направленные на внедрение клинических
 рекомендаций и стандартов оказания медицинской помощи больным с
 сердечно-сосудистыми заболеваниями, путем проведения научно-практических мероприятий (разборы клинических случаев,
 показательные операции, виртуальные обходы и др.) с участием профильных
 краевых, республиканских, областных, окружных медицинских организаций субъектов
 Российской Федерации (и/или их структурных подразделений), либо организаций,
 выполняющих их функции, в режиме телеконференции, а также проведение
 дистанционных консультаций/консилиумов с применением телемедицинских технологий,
 направленных на повышение качества медицинской помощи населению субъекта
 Российской Федерации; актуализация клинических рекомендаций 
 за счет новых методов профилактики, диагностики, лечения и реабилитации.</t>
  </si>
  <si>
    <t>Кадровое обеспечение системы оказания помощи больным сердечно-сосудистыми заболеваниями</t>
  </si>
  <si>
    <t>В рамках
 национального проекта «Здравоохранение» будут реализованы мероприятия
 федерального проекта «Обеспечение медицинских организаций системы
 здравоохранения квалифицированными кадрами», направленные на обеспечение
 системы оказания помощи 
 больным сердечно-сосудистыми заболеваниями квалифицированными кадрами,
 посредством ежегодного определение реальной потребности субъектов Российской
 Федерации в медицинских кадрах в разрезе каждой медицинской организации и
 каждой медицинской специальности с учетом специфики конкретного региона;
 формирования контрольных цифр приема на подготовку специалистов с учетом
 реальной потребности в медицинских кадрах; развития системы целевого обучения;
 реализации мер социальной поддержки медицинских работников на федеральном и
 региональном уровнях; повышения престижа профессии; внедрения процедуры
 аккредитации специалистов и системы непрерывного медицинского образования.</t>
  </si>
  <si>
    <t>Переоснащение/дооснащение медицинским оборудованием региональных сосудистых центров и первичных сосудистых отделений в субъектах Российской Федерации</t>
  </si>
  <si>
    <t>С 2019 по 2024 год субъектами Российской Федерации будут переоснащены/дооснащены:не менее 140 региональных сосудистых центров, медицинским оборудованием из следующего
 перечня: магнитно-резонансный томограф; компьютерный томограф; ангиографическая
 система; аппарат ультразвуковой для исследования сосудов сердца и мозга;
 операционный микроскоп (для выполнения нейрохирургических вмешательств);
 система нейронавигации; эндоскопическая стойка для нейрохирургии; аппараты
 искусственной вентиляции легких; оборудование для ранней медицинской
 реабилитации; 
 не менее 469 первичных сосудистых отделений медицинским оборудованием из следующего
 перечня: компьютерный томограф;
 аппарат ультразвуковой для исследования сосудов сердца и мозга; аппараты
 искусственной вентиляции легких; оборудование для ранней медицинской
 реабилитации, оборудование для проведения рентгенэндоваскулярных
 методов лечения.</t>
  </si>
  <si>
    <t>Переоснащено/дооснащено медицинским оборудованием не менее 140 региональных сосудистых центров и 469 первичных сосудистых отделений в 85 субъектах Российской Федерации</t>
  </si>
  <si>
    <t>Обеспечение методической поддержки и координация реализации федерального проекта "Борьба с сердечно-сосудистыми заболеваниями"</t>
  </si>
  <si>
    <t>Министерством здравоохранения Российской
 Федерации на базе подведомственного федерального учреждения будет создан
 координационный центр для обеспечения разработки и реализации региональных программ «Борьба с
 сердечно-сосудистыми заболеваниями»,которым будут разработаны требования к
 региональным программам «Борьба с сердечно-сосудистыми заболеваниями» (далее –
 требования), предусматривающие реализацию комплекса мер, направленных в том
 числе на совершенствование первичной профилактики сердечно-сосудистых
 заболеваний, своевременное выявление факторов риска, включая артериальную
 гипертонию, и снижение риска ее развития, вторичную профилактику осложнений
 сердечно-сосудистых заболеваний, повышение эффективности оказания медицинской
 помощи больным с сердечно-сосудистыми заболеваниями, в том числе
 совершенствование организации службы скорой медицинской помощи,
 предусматривающее создание единой центральной диспетчерской в каждом из регионов, информирование населения о симптомах острого нарушения мозгового
 кровообращения и острого коронарного синдрома, правилах действий больных и их окружающих при развитии неотложных состояний, совершенствование схем
 маршрутизации, внедрение и увеличение объемов применения высокоэффективных методов лечения,
 совершенствование медицинской реабилитации, кадровое обеспечение первичных
 сосудистых отделений и региональных сосудистых центров и повышение профессиональной квалификации, участвующих в оказании медицинской
 помощи больным с сердечно-сосудистыми заболеваниями.Координационным центром будет осуществляться мониторинг реализации мероприятий региональных программ, по результатам которого ежегодно будет составляться отчет, содержащий рекомендации о дальнейшей корректировке и реализации мероприятий.По итогам 2024 года координационным центром будет сформирован итоговый отчет о результатах реализации региональных программ «Борьба с сердечно-сосудистыми заболеваниями» и их эффективности.</t>
  </si>
  <si>
    <t>С 2019 по 2024 год субъектами Российской Федерации будут переоснащены/дооснащены:
 не менее 140 региональных сосудистых центров, медицинским оборудованием из следующего
 перечня: магнитно-резонансный томограф; компьютерный томограф; ангиографическая
 система; аппарат ультразвуковой для исследования сосудов сердца и мозга;
 операционный микроскоп (для выполнения нейрохирургических вмешательств);
 система нейронавигации; эндоскопическая стойка для нейрохирургии; аппараты
 искусственной вентиляции легких; оборудование для ранней медицинской
 реабилитации; 
 не менее 469 первичных сосудистых отделений медицинским оборудованием из следующего
 перечня: компьютерный томограф;
 аппарат ультразвуковой для исследования сосудов сердца и мозга; аппараты
 искусственной вентиляции легких; оборудование для ранней медицинской
 реабилитации, оборудование для проведения рентгенэндоваскулярных
 методов лечения.</t>
  </si>
  <si>
    <t>Разработка и реализация программ борьбы с онкологическими заболеваниями</t>
  </si>
  <si>
    <t>В 85 субъектах Российской Федерации разработаны и утверждены региональные программы "Борьба с онкологическими заболеваниями"</t>
  </si>
  <si>
    <t>Министерством здравоохранения Российской
 Федерации в первом квартале 2019 года будет определено подведомственное
 федеральное учреждение и на его базе создан координационный центр для
 обеспечения разработки и реализации региональных программ «Борьба с онкологическими заболеваниями»,которым будут разработаны требования к региональным программам «Борьба онкологическими заболеваниями» (далее – требования)
 предусматривающие реализацию комплекса мер, направленных, в том числе на совершенствование профилактики и раннего выявления злокачественных
 новообразований, на повышение эффективности диагностики и лечения
 злокачественных новообразований, в том числе с применением эффективных методов
 диагностики злокачественных новообразований и использованием телемедицинских технологий, внедрение высокоэффективных
 радиологических, химиотерапевтических и комбинированных хирургических методов лечения с использованием клинических рекомендаций, обеспечение полного цикла при
 применении химиотерапевтического лечения у больных со злокачественными
 новообразованиями, повышение доступности высокотехнологичных методов лечения
 для пациентов с онкологическими заболеваниями, повышение профессиональной
 квалификации медицинского персонала первичного звена здравоохранения,
 врачей-онкологов, врачей-радиологов и других специалистов, участвующих в
 оказании онкологической помощи населению, развитие реабилитации онкологических
 больных, внедрение современных программ реабилитации онкологических больных и
 программ психосоциальной поддержки онкологических больных. Во всех субъектах
 Российской Федерации на основании требований разработаны и утверждены
 региональные программы «Борьба с онкологическими заболеваниями».Координационным центром в рамках
 государственного задания будет осуществляться мониторинг реализации мероприятий
 региональных программ, по результатам которого ежегодно будет составляться
 отчет, содержащий рекомендации о дальнейшей корректировке и реализации
 мероприятий. По итогам 2024 года координационным центром будет сформирован итоговый
 отчет о результатах реализации региональных программ «Борьба с онкологическими
 заболеваниями» и их эффективности.</t>
  </si>
  <si>
    <t>Финансовое обеспечение оказания медицинской помощи больным с онкологическими заболеваниями в соответствии с клиническими рекомендациями</t>
  </si>
  <si>
    <t>Будет обеспечено
 ежегодное доведение из федерального бюджета межбюджетного трансферта бюджету
 Федерального фонда обязательного медицинского страхования на дополнительное
 финансовое обеспечение оказания медицинской помощи больным с онкологическими
 заболеваниями в соответствии с клиническими рекомендациями.
 С учетом
 указанного межбюджетного трансферта бюджетом Федерального фонда обязательного
 медицинского страхования будут доводиться в составе субвенции бюджетам
 территориальных фондов обязательного медицинского страхования.
 На основании
 средних нормативов объема медицинской помощи, в том числе по профилю
 «онкология» и средних нормативов финансовых затрат на единицу объема
 медицинской помощи, в том числе по профилю «онкология», установленных в
 Программах государственных гарантий бесплатного оказания гражданам медицинской
 помощи, органами исполнительной власти субъектов Российской Федерации будут
 приняты территориальные программы государственных гарантий бесплатного оказания
 гражданм медицинской помощи.
 В целях мониторинга
 и контроля за расходованием средств и оказанием медицинской помощи гражданам
 Федеральным фондом обязательного медицинского страхования в первом квартале
 2019 года будет принят соответствующий приказ, предусматривающий ежемесячное
 получение информации о законченных случаях лечения с применением химиотерапии, лучевой терапии, комбинированного и хирургического
 лечения.
 По итогам
 первого полугодия 2019 года Минздравом России будут сформированы доклад по
 результатам анализа расходования средств, выделенных на оказание медицинской
 помощи по профилю «онкология».</t>
  </si>
  <si>
    <t>Внедрение региональной централизованной информационной системы «Организация оказания медицинской помощи больным онкологическими заболеваниями»</t>
  </si>
  <si>
    <t>В рамках национального проекта «Здравоохранение»
 реализуются мероприятия федерального проекта «Создание единого цифрового
 контура в здравоохранении на основе единой государственной информационной
 системы здравоохранения (ЕГИСЗ)», направленные на обеспечение учета
 маршрутизации пациентов с онкологическими заболеваниями и контроль их состояния
 здоровья на всех этапах оказания медицинской помощи, предусматривающие
 подключение и информационный обмен между структурными подразделениями
 государственных и муниципальных медицинских организаций общего профиля с
 медицинскими организациями субъектов Российской Федерации, оказывающих
 медицинскую помощь больным 
 с онкологическими заболеваниями.</t>
  </si>
  <si>
    <t>Кадровое обеспечение онкологической службы</t>
  </si>
  <si>
    <t>В рамках национального проекта «Здравоохранение»
 реализуются мероприятия федерального проекта «Обеспечение медицинских
 организаций системы здравоохранения квалифицированными кадрами», направленные
 на обеспечение системы оказания помощи больным онкологическими заболеваниями
 квалифицированными кадрами посредством ежегодного определение реальной
 потребности субъектами Российской Федерации в медицинских кадрах в разрезе
 каждой медицинской организации и каждой медицинской специальности с учетом
 специфики конкретного региона; формирования контрольных цифр приема на
 подготовку специалистов с учетом реальной потребности в медицинских кадрах;
 развития системы целевого обучения; реализации мер социальной поддержки
 медицинских работников 
 на федеральном и региональном уровнях; повышения престижа профессии; внедрения
 процедуры аккредитации специалистов 
 и системы непрерывного медицинского образования.</t>
  </si>
  <si>
    <t>Новое строительство и реконструкция</t>
  </si>
  <si>
    <t>​В рамках реализации мероприятия планируется строительство и реконструкция онкологических диспансеров (корпусов) (Республика Башкортостан, Республика Мордовия, Республика Хакасия,
 Волгоградская область, Липецкая область, Костромская область, Саратовская область, Томская область) и реконструкция федеральных объектов (МНИОИим. П.А. Герцена и НМИЦ онкологии имени
 Н.Н. Петрова).
 В соответствии с постановлением Правительства
 Российской Федерации от 13.09.2010 №716 «Об утверждении Правил
 формирования и реализации федеральной адресной инвестиционной программы» (далее
 ФАИП) включена в ФАИП
 реконструкция/строительство больниц/корпусов онкологических диспансеров. Заключены соглашения и предоставлены субсидии на софинансирование реконструкция/строительство
 больниц/корпусов онкологических диспансеров. 
 Заключены контракты на
 реконструкция/строительство больниц/корпусов онкологических диспансеров.
 Получены разрешения на ввод в эксплуатацию.</t>
  </si>
  <si>
    <t>Созданы референс-центры иммуногистохимических, патоморфологических и лучевых методов исследований</t>
  </si>
  <si>
    <t>В 2019-2020 году
 Министерством здравоохранения Российской Федерации определены федеральные медицинские
 учреждения, на базе которых будут созданы не менее 18референс-центров для решения научно-практических,
 организационно-методических задач по деятельности иммуногистохимических,
 патоморфологических, молекулярно-генетических лабораторий и центров анализа и интерпретации данных лучевых методов
 исследований в Российской Федерации.
 Заключены и
 реализованы соглашения с федеральными медицинскими учреждениями о
 предоставлении иных целевых субсидий на оснащение оборудованием в целях создания референс-центров.</t>
  </si>
  <si>
    <t>Проведение информационно-коммуникационной кампании, направленной на раннее выявление онкологических заболеваний и повышение приверженности к лечению, охвачено не менее 70% аудитории граждан старше 18 лет по основным каналам: телевидение, радио и в информационно-телекоммуникационной сети «Интернет»</t>
  </si>
  <si>
    <t>Подведомственными федеральными учреждениями
 Министерства здравоохранения Российской Федерации в 2019-2024 году будут проведены
 конкурсные процедуры и заключен государственный контракт на разработку
 концепции информационно-коммуникационной кампании с определением наиболее
 эффективных способов подачи информации для целевой аудитории и/или
 рекламно-информационных материалов (видео-ролики, радио-ролики, вирусные
 интернет-ролики, интернет-баннеры, баннеры для контекстной рекламы в сети
 интернет, макеты наружной рекламы) с учетом результатов ранее проводимых
 аналогичных мероприятий.
 Информационно-коммуникационная кампания будет
 включать в себя информирование населения о проведении скринингов, направленных
 на раннее выявление онкологических заболеваний, о необходимости прохождения
 профилактических осмотров, в рамках которых предусмотрены исследования, которые
 позволяют обнаружить злокачественное новообразование на ранней стадии.
 Будет создан и поддерживаться интернет портал
 по вопросам выявления и лечения онкологических заболеваний, где в том числе
 будет размещена информация о медицинских организациях, оказывающих помощь при
 онкологических заболеваниях, о правах граждан при получении онкологической
 помощи, будет обеспечена его посещаемость не менее 5 тыс. пользователей в
 сутки.
 Будут реализованы специальные проекты в СМИ,
 созданы программы/рубрики/сюжеты/графические вставки на федеральном и
 региональном телевидении, размещены информационные статьи в печатных СМИ, будут
 вестись группы в социальных сетях, проводиться работа в тематических блогах.
 Будут размещены рекламно-информационные материалы в СМИ, в том числе на
 федеральных и региональных телеканалах.
 Будет проведен анализ информационного пространства и разработана
 методика оценки эффективности рекламно-информационных кампаний/оценка
 эффективности рекламно-информационных кампаний.</t>
  </si>
  <si>
    <t>Не менее 45 федеральных медицинских организаций, имеющих в своей структуре онкологические подразделения, переоснащены медицинским оборудованием</t>
  </si>
  <si>
    <t>С 2019 по
 2024 год переоснащены медицинским
 оборудованием не менее 45 федеральных медицинских организаций, имеющих в своей структуре онкологические
 подразделения, в том числе для диагностики 
 и лечения методами ядерной медицины, в соответствии с порядками оказания медицинской помощи по профилю «онкология», создан центр
 протонной терапии.</t>
  </si>
  <si>
    <t>Организованы центры амбулаторной онкологической помощи</t>
  </si>
  <si>
    <t>Субъектами Российской Федерации определяются
 медицинские организации, обладающие полным спектром оборудования и
 необходимыми специалистами для комплексной и своевременной диагностики основных
 видов злокачественных новообразований на принципах мультикомандного подхода и
 высокой преемственности, на базе
 которых создаются не менее 100 центров
 амбулаторной онкологической помощи в
 целях сокращения сроков диагностики и повышения ее качества. Помимо
 проведения «онкопоиска», функциями данных центров амбулаторной онкологической
 помощи будут являться: диспансерное наблюдение, проведение
 химиотерапевтического лечения в условиях дневного стационара, мониторинг лечения.</t>
  </si>
  <si>
    <t>Организованы не менее 420 центров амбулаторной онкологической помощи</t>
  </si>
  <si>
    <t>С 2019 по
 2024 год субъектами Российской
 Федерации определены медицинские организации, обладающие полным спектром
 оборудования и необходимыми специалистами для комплексной и своевременной
 диагностики основных видов злокачественных новообразований на принципах мультикомандного подхода и высокой преемственности, на базе которых созданы не менее 420 центров амбулаторной
 онкологической помощи в целях сокращения
 сроков диагностики и повышения ее качества. Помимо проведения «онкопоиска»,
 функциями данных центров амбулаторной онкологической помощи будут являться:
 диспансерное наблюдение, проведение химиотерапевтического лечения в
 амбулаторных условиях и условиях дневного стационара, мониторинг лечения.</t>
  </si>
  <si>
    <t>Обеспечение методической поддержки и координация реализации федерального проекта "Борьба с онкологическими заболеваниями"</t>
  </si>
  <si>
    <t>Министерством здравоохранения Российской Федерации в первом квартале 2019 года будет определено подведомственное федеральное учреждение и на его базе создан координационный центр для обеспечения разработкии реализации региональных программ «Борьбас онкологическими заболеваниями»,которым будут разработаны требованияк региональным программам «Борьба онкологическими заболеваниями» (далее – требования) предусматривающие реализацию комплекса мер, направленных, в том числена совершенствование профилактики и раннего выявления злокачественных новообразований, на повышение эффективности диагностики и лечения злокачественных новообразований, в том числе с применением эффективных методов диагностики злокачественных новообразованийи использованием телемедицинских технологий, внедрение высокоэффективных радиологических, химиотерапевтическихи комбинированных хирургических методов леченияс использованием клинических рекомендаций, обеспечение полного цикла при применении химиотерапевтического лечения у больных со злокачественными новообразованиями, повышение доступности высокотехнологичных методов лечения для пациентов с онкологическими заболеваниями, повышение профессиональной квалификации медицинского персонала первичного звена здравоохранения, врачей-онкологов, врачей-радиологов и других специалистов, участвующих в оказании онкологической помощи населению, развитие реабилитации онкологических больных, внедрение современных программ реабилитации онкологических больных и программ психосоциальной поддержки онкологических больных. Во всех субъектах Российской Федерации на основании требований разработаны и утверждены региональные программы «Борьба с онкологическими заболеваниями».Координационным центром в рамках государственного задания будет осуществляться мониторинг реализации мероприятий региональных программ, по результатам которого ежегодно будет составляться отчет, содержащий рекомендации о дальнейшей корректировке и реализации мероприятий.По итогам 2024 года координационным центром будет сформирован итоговый отчет о результатах реализации региональных программ «Борьба с онкологическими заболеваниями» и их эффективности.</t>
  </si>
  <si>
    <t>Переоснащение медицинским оборудованием региональных медицинских организаций, оказывающих помощь больным онкологическими заболеваниями (диспансеров/больниц)</t>
  </si>
  <si>
    <t>С 2019 по
 2024 год субъектами Российской
 Федерации переоснащены медицинским
 оборудованием не менее 160 региональных медицинских организаций, оказывающих
 помощь больным онкологическими заболеваниями (диспансеров/больниц), участвующих в переоснащении медицинским
 оборудованием, в том числе оборудованием
 для диагностики и лечения методами ядерной медицины, в соответствии с порядками оказания медицинской помощи по профилю «онкология».</t>
  </si>
  <si>
    <t>Завершено переоснащение медицинским оборудованием не менее 160 региональных медицинских организаций, оказывающих помощь больным онкологическими заболеваниями (диспансеров/больниц)</t>
  </si>
  <si>
    <t>Введены в эксплуатацию центры протонно-лучевой терапии (количество организаций нарастающим итогом)</t>
  </si>
  <si>
    <t>​Протонно-лучевые центры оказывают медицинскую помощь с применением метода протонной терапии.В 2019 году 3 протонно-лучевых центра оказывают медицинскую помощь с применением метода протонной терапииВ 2020 году 3 протонно-лучевых центра оказывают медицинскую помощь с применением метода протонной терапииВ 2021 году 3 протонно-лучевых центра оказывают медицинскую помощь с применением метода протонной терапииВ 2022 году 3 протонно-лучевых центра оказывают медицинскую помощь с применением метода протонной терапииВ 2023 году 3 протонно-лучевых центра оказывают медицинскую помощь с применением метода протонной терапииВ 2024 году 4 протонно-лучевых центра оказывают медицинскую помощь с применением метода протонной терапии</t>
  </si>
  <si>
    <t>Разработка и реализация программ развития детского здравоохранения, включая создание современной инфраструктуры оказания медицинской помощи детям</t>
  </si>
  <si>
    <t>В субъектах Российской Федерации будут разработаны и утверждены региональные программы «Развитие детского здравоохранения, включая создание современной инфраструктуры оказания медицинской помощи детям».</t>
  </si>
  <si>
    <t>Минздравом России будут
 установлены и направлены в субъекты Российской Федерации требования к
 региональным программам «Развитие детского здравоохранения, включая создание
 современной инфраструктуры оказания медицинской помощи детям». 
 В 85 субъектах
 Российской Федерации на основании указанных требований Минздрава России к 01.07.2019
 г. будут разработаны и утверждены руководителями высших органов исполнительной
 власти субъектов Российской Федерации региональные программы «Развитие детского
 здравоохранения, включающие мероприятия по созданию современной инфраструктуры оказания
 медицинской помощи детям», развитию материально-технической базы медицинских
 организаций, оказывающих помощь детям, развитию профилактического направления
 медицинской помощи детям, по улучшению репродуктивного здоровья подростков, по
 актуализации схем маршрутизации беременных женщин с преждевременными родами для
 улучшения помощи недоношенным новорожденным, а также по повышению квалификации
 врачей, оказывающих помощь детям. 
 Мероприятия
 региональных программ будут обеспечены соответствующим финансированием.
 Субъекты Российской
 Федерации на основании приказа Минздрава России
 от 1 ноября 2012 г. № 572н «Об утверждении Порядка оказания медицинской
 помощи по профилю «акушерство и
 гинекология (за исключением использования вспомогательных репродуктивных
 технологий)» внесли изменения в нормативные правовые документы, регулирующие
 маршрутизацию беременных. с учетом особенностей организации акушерской помощи в
 регионах, открытия новых перинатальных центров, улучшения транспортной
 инфраструктуры, расширение возможностей санитарной авиации. 
 С целью снижения
 младенческой смертности будет обеспечена своевременная госпитализация беременных женщин с преждевременными родами в
 наиболее высококвалифицированные учреждения родовспоможения для улучшения
 качества помощи недоношенным новорожденным. Доля преждевременных родов (22-37 недель) в перинатальных центрах составит
 к 2024г 60% от общего числа
 преждевременных родов</t>
  </si>
  <si>
    <t>В симуляционных центрах будут обучены специалисты в области перинатологии, неонатологии и педиатрии</t>
  </si>
  <si>
    <t>К 2024 г. в рамках
 выполнения государственного задания на дополнительное профессиональное
 образование, установленное Минздравом России подведомственным федеральным
 государственным учреждениям, в симуляционных центрах будет повышена
 квалификация не менее 52,5 тыс.
 специалистов в области
 перинатологии, неонатологии и педиатрии, что будет способствовать совершенствованию манипуляционных и
 коммуникативных навыков врачей и отразится на повышении качества медицинской
 помощи детям и снижении смертности и инвалидности.</t>
  </si>
  <si>
    <t>Совершенствование диспансерного наблюдения детей, актуализация Приказа Минздрава России от 21.12.2012г.№1348н «Об утверждении Порядка прохождения несовершеннолетними диспансерного наблюдения, в том числе в период обучения и воспитания в образовательных учреждениях»</t>
  </si>
  <si>
    <t>Будут внесены изменения в Приказ
 Минздрава России от 21.12.2012 №1348н
 «Об утверждении Порядка прохождения несовершеннолетними диспансерного
 наблюдения, в том числе в период обучения и воспитания в образовательных
 учреждениях».
 В соответствии с данным приказом будет увеличен охват детей с впервые
 в жизни установленными диагнозами болезней костно-мышечной системы и
 соединительной ткани, глаза и его придаточного аппарата, болезни органов
 пищеварения, болезни системы кровообращения, болезни эндокринной системы,
 расстройств питания и нарушения обмена веществ диспансерным наблюдением.
 Раннее взятие на диспансерный учет детей с впервые в жизни
 установленными диагнозами наиболее распространенной, в том числе
 «школьно-обусловленной» патологией, позволило своевременно провести лечебные и
 реабилитационные мероприятия в соответствии с выявленной патологией, а также
 снизило вероятность хронизации заболеваний и переход их в декоменсированную
 стадию. 
 В отношении заболеваний сердечно-сосудистой системы и нарушений обмена
 веществ обеспечена в долгосрочной
 перспективе профилактика и снижение смертности во взрослом состоянии от
 заболеваний системы кровообращения и диабета.
 К 2024 году увеличена доля детей в возрасте 0 - 17 лет
 с впервые в жизни установленными диагнозами болезней костно-мышечной системы,
 соединительной ткани, глаза и его придаточного аппарата, органов пищеварения,
 системы кровообращения, эндокринной системы, расстройств питания и нарушения
 обмена веществ до 90% взятых под диспансерное наблюдение.</t>
  </si>
  <si>
    <t>Увеличен охват детей в возрасте 15-17 лет профилактическими медицинскими осмотрами с целью сохранения их репродуктивного здоровья (доля от общего числа детей подлежащих осмотрам), %</t>
  </si>
  <si>
    <t>Детские поликлиники/детские поликлинические отделения медицинских организаций субъектов Российской Федерации будут дооснащены медицинскими изделиями и реализуют организационно-планировочные решения внутренних пространств, обеспечивающих комфортность пребывания детей в соответствии с приказом Минздрава России от 7 марта 2018 г. № 92н «Об утверждении Положения об организации оказания первичной медико-санитарной помощи детям»</t>
  </si>
  <si>
    <t>В целях достижения результатов
 федерального проекта «Развитие детского здравоохранения, включая создание
 современной инфраструктуры оказания медицинской помощи детям» по субъектам
 Российской Федерации до 15.02.2019 г. и до 15.02.2020 г. будут заключены
 соглашения о предоставлении субсидий бюджетам субъектов на софинансирование расходных
 обязательств субъектов Российской Федерации в рамках реализации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(далее – региональные программы).В первом квартале 2019 г. и в
 первом квартале 2020 г. органами исполнительной власти субъектов Российской
 Федерации будет утвержден перечень медицинских организаций, нуждающихся в
 развитии материально-технической базы детских поликлиник и детских
 поликлинических отделений медицинских организаций в части дооснащения
 (обеспечения) детских поликлиник и детских поликлинических отделений
 медицинских организаций, подведомственных органам исполнительной власти
 субъекта Российской Федерации, и (или) медицинских организаций муниципальной
 системы здравоохранения, расположенных на территории субъекта Российской
 Федерации, медицинскими изделиями и (или) созданием в них
 организационно-планировочных решений внутренних пространств, обеспечивающих
 комфортность пребывания детей.Для каждой медицинской организации
 органами исполнительной власти субъектов Российской Федерации будет сформирован
 перечень закупаемых медицинских изделий в соответствии с требованиями приказа
 Минздрава России от 7 марта 2018 г. № 92н (Приложение 6, в соответствии со
 сноской ˂4˃ -Рекомендуемый до 31.12.2020 года).Субъекты Российской Федерации
 обеспечат подготовку в медицинских организациях соответствующих помещений для
 установки приобретаемых медицинских изделий.Субъекты Российской Федерации
 обеспечат подготовку медицинских работников, имеющих соответствующий уровень
 образования и квалификации для работы с приобретаемыми медицинскими изделиями.В субъектах Российской Федерации для
 медицинских организаций, определенных органами исполнительной власти субъектов
 Российской Федерации, будут проведены конкурсные процедуры и заключены
 государственные контракты по поставке медицинских изделий и реализации организационно-планировочных решений
 внутренних пространств.Данные меры будут направлены на повышение качества оказания первичной
 медико-санитарной помощи детям, создание условий для внедрения принципов
 бережливого производства и комфортного пребывания детей и их родителей при
 оказании первичной медико-санитарной помощи, сокращение времени ожидания в
 очереди при обращении в указанные организации, облегчение записи к врачу,
 уменьшение времени ожидания приема, создание понятной системы навигации и
 логистически правильного расположения кабинетов. Это создаст условия для
 увеличения доли посещения детьми медицинских организаций с профилактическими
 целями, что позволит предупредить развитие хронических заболеваний не только в
 детском, но и во взрослом возрасте. Реализация организационно-планировочных
 решений внутренних пространств детских поликлиник/поликлинических отделений
 медицинских организаций послужит основой для формирования «Новой модели
 медицинских организаций, оказывающих первичную медико-санитарную помощь»,
 предусмотренную проектом «Развитие системы оказания первичной медико-санитарной
 помощи».
 В 2021г органами исполнительной власти
 субъектов Российской Федерации будут продолжены мероприятия по дооснащению
 медицинскими изделиями и реализации
 организационно-планировочных решений внутренних пространств детских
 поликлиник/детских поликлинических отделений медицинских организаций, обеспечивающих
 комфортность пребывания детей.</t>
  </si>
  <si>
    <t>В 2019 году в рамках Программы
 государственных гарантий бесплатного оказания гражданам медицинской помощи на
 2019 год и на плановый период 2020 и 2021 годов предусмотрено увеличение
 норматива объема медицинской помощи в амбулаторных условиях, оказанной с
 профилактическими и иными целями, в том числе впервые будет установлен норматив
 для проведения профилактических медицинских осмотров и норматив финансовых
 затрат на проведение этих осмотров. Начиная с 2019 года, органами
 государственной власти субъектов Российской Федерации в сфере охраны здоровья в
 рамках региональных программ будет проведено ежегодно не менее 500
 информационно-коммуникационных мероприятий (круглые столы, конференции, лекции,
 школы, в том числе в интерактивном режиме, при участии средств массовой
 информации, издание печатных агитационных материалов), направленных на формирование
 и поддержание здорового образа жизни среди детей и их родителей/законных
 представителей, в том числе, по вопросам необходимости проведения
 профилактических медицинских осмотров несовершеннолетних: девочек – врачами
 акушерами-гинекологами; мальчиков – врачами детскими урологами-андрологами.
 Также будут проведены разъяснительные работы с подростками и их
 родителями/законными представителями в отношении необходимости проведения
 профилактических медицинских осмотров.Указанные меры позволят увеличить охват
 профилактическими медицинскими осмотрами детей в возрасте 15-17 лет до 80% на
 31.12.2024г, что в свою очередь будет способствовать раннему выявлению и
 лечению имеющейся патологии, предотвратить нарушения репродуктивного здоровья в
 будущем путем профилактических и реабилитационных мероприятий.Кроме того, Федеральной службой по
 надзору в сфере здравоохранения и Федеральным фондом обязательного медицинского
 страхования будут проводиться выборочные проверочные мероприятия (аудиты),
 направленные на улучшение качества проведения профилактических медицинских
 осмотров несовершеннолетних.</t>
  </si>
  <si>
    <t>Построено (реконструировано) детских больниц (корпусов)</t>
  </si>
  <si>
    <t>В соответствии с Постановлением Правительства РФ от 13.09.2010г. №716 (ред. от 24.03.2018) «Об утверждении Правил формирования и реализации федеральной адресной инвестиционной программы» (далее ФАИП) включены в ФАИП на 2019-2021 гг. реконструкция/строительство 9 детских больниц (корпусов). Субъекты Российской Федерации заключили соглашения о предоставлении субсидий на софинансирование программ, получат разрешения настроительство/реконструкцию8 детских больниц (корпусов).В соответствии с распоряжением Правительства Российской Федерации от 06.02.2019 №154-р:- к 31.12.2019 г.будет реконструирована 1 детская больница (корпус) , получено разрешение на ввод в эксплуатацию;-к 31.12.2020г. будет построено/ реконструировано(нарастающим итогом)5 детских больниц (корпусов), получены разрешения на ввод в эксплуатацию;-к 31.12.2021г. будет построено/реконструировано (нарастающим итогом) 9 детских больниц (корпусов), получены разрешения на ввод их в эксплуатацию.Всего к 31.12.2024 г. будет построено/ реконструировано (нарастающим итогом) 40детских больниц (корпусов).Введение в эксплуатацию детских больниц/корпусов повысит качество и доступность специализированной, в том числе высокотехнологичной медицинской помощи детям в стационарных условиях, снизит показатели смертности детского населения и улучшит условия пребывания пациентов в стационаре, в том числе позволит создать адекватные условия для совместного пребывания ребенка с родителями/законными представителями</t>
  </si>
  <si>
    <t>Будет оказана медицинская помощь женщинам в период беременности, родов и в послеродовый период, в том числе за счет средств родовых сертификатов</t>
  </si>
  <si>
    <t>За  счет средств родовых сертификатов (Федеральный закон от 28.11.2018 № 431-ФЗ «О
 бюджете Фонда социального страхования Российской Федерации на 2019 г и на
 плановый период 2020 и 2021 годов») в 2019 г. получат медицинскую помощь не
 менее 1350 тыс. женщин, а далее – согласно Проекту Федерального закона «О
 бюджете Фонда социального страхования РФ» на последующие годы к 31.12.2024г
 получат медицинскую помощь не менее не менее 8000 тыс женщин (нарастающим
 итогом), что позволит укрепить материально- техническую базу учреждений
 родовспоможения (женских консультаций, родильных домов, перинатальных центров и
 др.) и повысить качество оказания медицинской помощи, а также мотивацию
 специалистов к работе.</t>
  </si>
  <si>
    <t>Детские поликлиники/детские поликлинические отделения медицинских организаций, подведомственных федеральным органам исполнительной власти, будут дооснащены медицинскими изделиями и реализуют организационно-планировочные решения внутренних пространств, обеспечивающих комфортность пребывания детей в соответствии с приказом Минздрава России от 7 марта 2018 г. № 92н «Об утверждении Положения об организации оказания первичной медико-санитарной помощи детям»</t>
  </si>
  <si>
    <t>В целях достижения результатов федерального проекта «Развитие
 детского здравоохранения, включая создание современной инфраструктуры оказания
 медицинской помощи детям» Федеральному медико-биологическому (далее – ФМБА
 России) до 15.02.2019 г. и до 15.02.2020 г. будутдоведены
 средства федерального бюджета на развитие материально-технической базы
 подведомственных детских поликлиник и детских поликлинических отделений
 медицинских организаций.В первом квартале 2019 г. и в первом квартале 2020 г. ФМБА
 России будет утвержден перечень медицинских организаций, нуждающихся в развитии
 материально-технической базы детских поликлиник и детских поликлинических
 отделений медицинских организаций в части дооснащения (обеспечения) детских
 поликлиник и детских поликлинических отделений медицинских организаций,
 подведомственных ФМБА России, и (или) медицинских организаций муниципальной
 системы здравоохранения, медицинскими изделиями и (или) созданием в них
 организационно-планировочных решений внутренних пространств, обеспечивающих комфортность
 пребывания детей,Для каждой медицинской организации ФМБА России будет сформирован
 перечень закупаемых медицинских изделий в соответствии с требованиями приказа
 Минздрава России от 7 марта 2018 г. № 92н (Приложение 6, в соответствии со
 сноской ˂4˃ -Рекомендуемый до 31.12.2020 года).Медицинским организациям ФМБА России, согласно утвержденному
 перечню, во втором квартале 2019 г. и во втором квартале 2020 г. доведены
 субсидии на иные цели в целях развития материально-технической базы детских
 поликлиник и детских поликлинических отделений в соответствии с сформированным
 перечнем закупаемых медицинских изделий. Данные меры будут направлены на повышение
 качества оказания первичной медико-санитарной помощи детям, создание условий
 для внедрения принципов бережливого производства и комфортного пребывания детей
 и их родителей при оказании первичной медико-санитарной помощи, сокращение
 времени ожидания в очереди при обращении в указанные организации, облегчение
 записи к врачу, уменьшение времени ожидания приема, создание понятной системы
 навигации и логистически правильного расположения кабинетов. Это создаст
 условия для увеличения доли посещения детьми медицинских организаций с
 профилактическими целями, что позволит предупредить развитие хронических
 заболеваний не только в детском, но и во взрослом возрасте. Реализация
 организационно-планировочных решений внутренних пространств детских
 поликлиник/поликлинических отделений медицинских организаций послужит основой
 для формирования «Новой модели медицинских организаций, оказывающих первичную
 медико-санитарную помощь», предусмотренную проектом «Развитие системы оказания
 первичной медико-санитарной помощи».В 2021 году ФМБА России будут продолжены мероприятия по дооснащению
 медицинским оборудованием детских поликлиник/детских поликлинических отделений
 медицинских организаций и реализации организационно-планировочных решений
 внутренних пространств в соответствии с ранее проведенными конкурсными
 процедурами и заключенными государственными контрактами.</t>
  </si>
  <si>
    <t>Обеспечение медицинских организаций системы здравоохранения квалифицированными кадрами, включая внедрение системы непрерывного образования медицинских работников, в том числе с использованием дистанционных образовательных технологий</t>
  </si>
  <si>
    <t>Увеличена численность врачей, работающих в государственных медицинских организациях, тыс. человек нарастающим итогом</t>
  </si>
  <si>
    <t>В соответствии с приказами
 Минздрава России от 26 июня 2014 г. № 322 и от 14 февраля 2018 г. № 73 будет
 проведен расчет прогнозной потребности во врачах и среднем медицинском
 персонале для государственных и муниципальных медицинских организаций на 2019 год
 в разрезе специальностей.
  В первом квартале 2019
 года на базе РНИМУ им. Пирогова будет создан отраслевой центр компетенций и
 организации подготовки квалифицированных кадров для системы здравоохранения.
  Указанным центром по
 каждому субъекту Российской Федерации будет проведен анализ фактически
 сложившейся ситуации по обеспечению населения медицинскими кадрами в разрезе
 специальностей с учетом сложившейся нагрузки на врачей и средний медицинский
 персонал и на основе потребности в медицинских работниках центром будут
 разработаны рекомендации для органов исполнительной власти субъектов Российской
 Федерации по ликвидации дефицита кадров.
  Разработанные рекомендаций
 будут учтены субъектами Российской Федерации при корректировке региональных
 программ, в том числе в части мероприятий по:
  переобучению и
 переквалификации медицинских работников профицитных специальностей по
 дефицитным направлениям;
  стимулированию и
 закреплению на рабочих местах, как работающих медицинских работников, так и
 вновь приходящих в отрасль, включая предоставление медицинским работникам
 жилья;
  увеличению числа
 медицинских работников, получающих меры социальной поддержки;
  привлечению медицинских
 работников, ранее перешедших на работу в иные организации;
  увеличению цифр целевого
 приема.
  Субъектами Российской
 Федерации, с учетом специфики организации медицинской помощи на территории
 региона, будет проработан вопрос по введению для отдельных медицинских
 организаций такой формы привлечения врачей, как «вахтовый метод работы» с
 предоставлением медицинским работникам служебного жилья и особых условий оплаты
 труда в соответствии с положениями главы 47 Трудового кодекса Российской
 Федерации.
  При принятии решения о
 возможности использования на территории отдельных регионов указанной формы
 привлечения врачей в их региональные программы будут внесены необходимые
 изменения и обеспечено их финансирование.
  В целях трудоустройства
 выпускников при медицинских ВУЗах будут организованы центры содействия
 трудоустройству, которые будут осуществлять поиск вакансий, помощь в
 трудоустройстве, приглашать работодателей на встречи с выпускниками и
 осуществлять дальнейший мониторинг трудоустройства.
  Указанные меры позволят
 увеличить обеспеченность медицинскими работниками на 1,1%.
  Также в 2019 году будут
 увеличены контрольные цифры приема для ВУЗов и объем государственного задания
 для образовательных организаций, осуществляющих подготовку средних медицинских
 работников.
  В целях мониторинга
 реализации мероприятий будет принят приказ Минздрава России «Об утверждении
 Порядка формирования средств нормированного страхового запаса территориального
 фонда обязательного медицинского страхования для софинансирования расходов
 медицинских организаций на оплату труда врачей и среднего медицинского
 персонала, условий их предоставления медицинским организациям государственной
 системы здравоохранения и муниципальной системы здравоохранения, оказывающим
 первичную медико-санитарную помощь в соответствии с территориальными
 программами обязательного медицинского страхования, и порядка использования
 указанных средств медицинскими организациями», на основании которого
 Федеральным фондом обязательного медицинского страхования будет проводиться
 ежемесячный мониторинг трудоустройства медицинских работников.
  В четвертом квартале 2019
 года с учетом результатов мероприятий будут внесены изменения в приказ
 Минздрава России от 26 июня 2014 г. № 322, и методику расчета потребности в
 специалистах со средним профессиональным (медицинским) образованием, утвержденной
 приказом Минздрава России от 14 февраля 2018 г. № 73, с учетом национальных
 целей и стратегических задач развития системы здравоохранения. 
  В соответствии со
 скорректированной в конце 2019 года методикой в первом квартале 2020 года
 Минздравом России будет проведена корректировка прогнозной потребности во
 врачах и среднем медицинском персонале для государственных и муниципальных
 медицинских организаций на 2020 год в разрезе специальностей.
  Отраслевой центр
 компетенций и организации подготовки квалифицированных кадров для системы
 здравоохранения на базе РНИМУ им. Пирогова проведет оценку эффективности
 реализации субъектами Российской Федерации мероприятий по привлечению и
 закреплению медицинских кадров на рабочих местах. Будут даны соответствующие
 рекомендации для каждого субъекта Российской Федерации.
  Продолжится работа по
 организации осуществления деятельности на базе медицинских ВУЗов центров
 содействия трудоустройству.
  Органами исполнительной
 власти субъектов Российской Федерации на основании рекомендаций проведут
 корректировку своих мероприятий региональных государственных программ.
  Указанные меры позволят
 увеличить обеспеченность медицинскими работниками на 2,6% (нарастающим итогом
 по отношению к базовому значению 2017 года).
  В 2020 году будут
 скорректированы контрольные цифры приема для ВУЗов и объем государственного
 задания для образовательных организаций, осуществляющих подготовку средних
 медицинских работников.
  Федеральным фондом ОМС
 будет продолжен мониторинг трудоустройства медицинских работников.
  В соответствии с методикой
 в первом квартале 2021 года будет проведена корректировка прогнозной
 потребности во врачах и среднем медицинском персонале для государственных и
 муниципальных медицинских организаций на 2021 год в разрезе специальностей.
 Отраслевой центр компетенций и организации подготовки квалифицированных
 кадров для системы здравоохранения на базе РНИМУим. Пирогова проведет оценку
 эффективности реализации субъектами Российской Федерации мероприятий по
 привлечению и закреплению медицинских кадров на рабочих местах. Будут даны
 соответствующие рекомендации для каждого субъекта Российской Федерации.
  Органы исполнительной
 власти субъектов Российской Федерации на основании рекомендаций проведут
 корректировку своих мероприятий региональных государственных программ.
  Также в первом квартале
 2021 года отраслевым центром компетенций будет проведен анализ проблем по
 реализации мероприятий, выделены основные риски.
 По результатам данных мероприятий Минздравом России в Правительство
 Российской Федерации будут направлены предложения по корректировке мероприятий
 федерального проекта (при необходимости).
  Также в первом полугодии
 2021 года Минздравом России будет проведена оценка деятельности центров
 содействия трудоустройству, созданных на базе медицинских ВУЗов, будут
 сформированы и направлены рекомендации по совершенствованию их деятельности.
 Указанные меры позволят увеличить обеспеченность медицинскими работниками
 на 4,4% (нарастающим итогом по отношению к базовому значению 2017 года).
  В 2021 году будут
 скорректированы контрольные цифры приема для ВУЗов и объем государственного
 задания для образовательных организаций, осуществляющих подготовку средних
 медицинских работников.
  Федеральным фондом ОМС
 будет продолжен мониторинг трудоустройства медицинских работников.
 В ходе дальнейшей
 реализации федерального проектаежегодно в первом квартале в период
 2022-2024 гг.всоответствии с методикой будет проводится
 корректировка прогнозной потребности во врачах и среднем медицинском персонале
 для государственных и муниципальных медицинских организаций на соответствующий
 год в разрезе специальностей.
  Отраслевым центром
 компетенций и организации подготовки квалифицированных кадров для системы
 здравоохранения на базе РНИМУ им. Пирогова будет проведиться оценка
 эффективности реализации субъектами Российской Федерации мероприятий по
 привлечению и закреплению медицинских кадров на рабочих местах и будут даны
 соответствующие рекомендации для каждого субъекта Российской Федерации.
  Органы исполнительной
 власти субъектов Российской Федерации на основании рекомендаций будут проводить
 (при необходимости) корректировку своих мероприятий региональных
 государственных программ.
  Также результаты
 проведенного анализа, с указанием регионов, которые не обеспечат в полном
 объеме достижение целевых показателей федерального проекта, будут направляться
 Минздравом России в Правительство Российской Федерации.
  Продолжится деятельность
 центров содействия трудоустройству, созданных на базе медицинских ВУЗов с
 учетом рекомендаций, направленных Минздравом России.
  Указанные меры позволят
 увеличить обеспеченность медицинскими работниками:
  в 2022 году на 6,3%
 (нарастающим итогом по отношению к базовому значению 2017 года);
  в 2023 годуна 8,8%
 (нарастающим итогом по отношению к базовому значению 2017 года);
  в 2024 годуна 12,2%
 (нарастающим итогом по отношению к базовому значению 2017 года).
  Ежегодно в период
 2022-2024 гг. будет осущетсвляться корректировка контрольных цифр приема для
 ВУЗов и объем государственного задания для образовательных организаций,
 осуществляющих подготовку средних медицинских работников.
  Федеральным фондом ОМС
 будет продолжен мониторинг трудоустройства медицинских работников.</t>
  </si>
  <si>
    <t>Не менее 2 100 тыс. специалистов (нарастающим итогом) допущено к профессиональной деятельности через процедуру аккредитации специалистов</t>
  </si>
  <si>
    <t>Первым
 МГМУ им. И.М. Сеченова будет осуществляться организационно-методическое
 обеспечение проведения процедуры аккредитации специалистов (формирование фонда
 оценочных средств, подготовка методических и информационных материалов,
 проведение обучения членов аккредитационных комиссий, сопровождение и анализ
 проведения процедуры аккредитации специалистов).
 В 2019 году будет разработано, обновлено и утверждено приказами Минтруда России не
 менее 64 профессиональных стандартов для специалистов с высшим и средним
 медицинским образованием (нарастающим итогом). Далее в период 2020 - 2024 гг. ежегодно будет осущетсвляться обносление и утверждение приказами Минтруда России неменее 5 профессиональных стандартов для специалистов с высшим и средним медицинским образованием.
 Ежегодно, в период 2019 - 2024 гг. на базе ВУЗов и научных организаций будут формироваться аккредитационные
 комиссии для проведения первичной и первичной специализированной аккредитации
 специалистов, имеющих высшее медицинское или фармацевтическое образование, а также
 среднее профессиональное (медицинское или фармацевтическое) образование.В период 2022 - 2024 гг. в рамках федерального проекта будет осуществляться финансовое обеспечение поддержки инфраструктуры созданных 17 независимых аккредитационных центров.В течении всего периода реализации федерального проекта будет обеспечено проведение аккредитации
 специалистов на соответствие качества их подготовки требованиям отрасли
 здравоохранения.</t>
  </si>
  <si>
    <t>Разработано не менее 5 000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непрерывного медицинского образования</t>
  </si>
  <si>
    <t>РНИМУ  им. Н.И. Пирогова (далее - учреждение) будет осуществляться организационно-методическое обеспечение
 внедрения системы непрерывного медицинского образования с ежегодной разработкой не менее 1000 интерактивных образовательных модулей, размещаемых на портале непрерывного медицинского образования edu.rosminzdrav.ru (далее –
 портал НМО).Учрежждением в 2019 году будет проведена доработка портала НМО.В течении всего периода реализации федерального проекта учреждением будет осущетсвляться поддержка инфраструктуры портала НМО.
 К концу 2021 года учреждением будут созданы и размещены на
 портале НМО не менее 5000 интерактивных образовательных модулей (накопительным
 итогом), что позволит внедрить систему непрерывного образования медицинских
 работников с использованием дистанционных образовательных технологий.</t>
  </si>
  <si>
    <t>Не менее 75 дооснащенных симуляционных центров образовательных и научных организаций Минздрава России используются для непрерывного повышения квалификации врачей</t>
  </si>
  <si>
    <t>Будут завершены мероприятия аналогичного приоритетного проекта по
 дооснащению симуляционных центров образовательных и научных организаций
 Минздрава России.
 После дооснащения указанные центры будут участвовать в системе
 непрерывного медицинского образования врачей, при этом не менее 29 из них
 (функционирующие на базе научных организаций) также будут выступать в качестве
 аккредитационно-симуляционных центров.</t>
  </si>
  <si>
    <t>Число специалистов, совершенствующих свои знания в рамках системы непрерывного медицинского образования, в том числе с использованием дистанционных образовательных технологий, путем освоения дополнительных образовательных программ, разработанных с учетом порядков оказания медицинской помощи, клинических рекомендаций и принципов доказательной медицины, с использованием портала непрерывного медицинского образования составило не менее 1880 тыс. человек</t>
  </si>
  <si>
    <t>РНИМУ  им. Н.И. Пирогова будут подготовлены и размещены на портале непрерывного медицинского образования (далее - портал НМО) справочная
 информация о системе
 непрерывного медицинского образования и
 методические рекомендации по работе с порталом НМО.
 Минздравом
 России будут направлены в адрес руководителей органов исполнительной власти
 субъектов Российской Федерации в сфере охраны здоровья, руководителей
 профессиональных некоммерческих медицинских организаций и заинтересованных
 федеральных органов исполнительной власти информационные письма о возможности
 прохождения непрерывного медицинского образования на портале НМО edu.rosminzdrav.ru
 С использованием портала НМО медицинские работники смогут получить
 необходимые актуальные знания и навыки.Ежегодно в период 2020 - 2024 гг. РНИМУ им. Н.И. Пирогова будет осущетслять обновление и (при необходимости) подготовку методических и справочных материалов о системе непрерывного медицинского образования.
 Минздравом России будет осущетсляться информирование специалистов отрасли
 здравоохранения о системе непрерывного медицинского образования.
 РНИМУ им. Н.И. Пирогова буду проводиться мероприятия по обеспечению участия медицинских работников в
 системе непрерывного медицинского образования с использованием портала НМО.</t>
  </si>
  <si>
    <t>Создано аккредитационно-симуляционных центров для аккредитации специалистов (количество центров нарастающим итогом)</t>
  </si>
  <si>
    <t>Минздравом
 России в первом квартале 2019 года будет сформирован рекомендуемый перечень
 симуляционного и дополнительного оборудования для проведения дооснащения
 симуляционных центров образовательных и научных организаций и создания на их
 базе аккредитационно-симуляционных центров в целях проведения аккредитации
 специалистов.Минобороны России и Минобрнауки России будут определены
 подведомственные образовательные организации, на базе которых будут созданы
 аккредитационно-симуляционные центры для проведения первичной
 специализированной аккредитации специалистов.Образовательными организациями будут проведены конкурсные процедуры и
 закуплено оборудование согласно рекомендуемому перечню для оснащения
 аккредитационно-симуляционных центров.
 После поставки оборудования и ввода в
 эксплуатацию указанные центры с 2019 года начнут аккредитацию медицинских
 работников.В 2020 году в дополнение к действующим 105 центрам Минздравом России будут определены 9 независимых
 аккредитационных центров (в городах населением не менее 1 млн. человек) на базе
 федеральных научных или медицинских организаций, не осуществляющих подготовку
 медицинских работников, и будут определены их функции, права и обязанности, а
 также порядок направления в указанные центры медицинских работников.
 Указанные
 центры будут оснащены оборудованием
 согласно рекомендуемому перечню.
 По итогам 2020 года указанные центры получат
 возможность проводить аккредитацию специалистов.</t>
  </si>
  <si>
    <t>На базе ранее созданных аккредитационно-симуляционных центров создано 8 независимых аккредитационных центров</t>
  </si>
  <si>
    <t>Из числа действующих 114 аккредитационно-симуляционных центров Минздравом России будет
 проведен отбор организаций, аккредитационно-симуляционные центры которых будут
 перепрофилированы в 8 независимых аккредитационных центров (по 1 центру в
 каждом федеральном округе Российской Федерации).
 Будет
 проведено дополнительное оснащение отобранных аккредитационно-симуляционных
 центров согласно рекомендуемому
 перечню.
 Минздравом
 России будут определены их функции, права и обязанности, а также порядок
 направления в указанные центры медицинских работников.
 По итогам 2021 года указанные центры получат
 возможность проводить аккредитацию специалистов.</t>
  </si>
  <si>
    <t>Актуализировано не менее 20% разработанных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непрерывного медицинского образования</t>
  </si>
  <si>
    <t>РНИМУ
 им. Н.И. Пирогова будет продолжено организационно-методическое обеспечение
 внедрения системы непрерывного медицинского образования и к концу 2024 года будет осуществлена
 актуализация не менее 20% (нарастающим итогом) ранее разработанных
 интерактивных образовательных модулей, размещенных на портале НМО.</t>
  </si>
  <si>
    <t>Обеспечение методической поддержки и координации реализации федерального проекта</t>
  </si>
  <si>
    <t>В первом квартале 2019 года на базе РНИМУ им. Пирогова будет создан
 отраслевой центр компетенций и организации подготовки квалифицированных кадров
 для системы здравоохранения.
 Указанным центром по каждому
 субъекту Российской Федерации будет проведен анализ фактически сложившейся
 ситуации по обеспечению населения медицинскими кадрами в разрезе специальностей
 с учетом сложившейся нагрузки на врачей и средний медицинский персонал и на
 основе потребности в медицинских работниках центром будут разработаны
 рекомендации для органов исполнительной власти субъектов Российской Федерации
 по ликвидации дефицита кадров.
 Далее в период 2020-2024 гг.
 отраслевым центром компетенций будет проводиться оценка
 эффективности реализации субъектами Российской Федерации мероприятий по
 привлечению и закреплению медицинских кадров на рабочих местах, с разработкой
 рекомендации (при необходимости) по корректировке региональных проектов.</t>
  </si>
  <si>
    <t>Проведение обучения по программам профессиональной переподготовки специалистов по профилям первичной медико-санитарной помощи, детского здравоохранения, онкологии (в том числе по паллиативной медицинской помощи) и сердечно-сосудистых заболеваний</t>
  </si>
  <si>
    <t>В соответствии с приказами Минздрава России от 26 июня 2014 г. № 322 и от 14 февраля 2018 г. №
 73 будет проведен расчет прогнозной потребности во врачах и среднем медицинском
 персонале для государственных и муниципальных медицинских организаций на 2019
 год в разрезе специальностей. 
 Отраслевым центром компетенций
 по каждому субъекту Российской Федерации совместно с органами исполнительной
 власти субъектов Российской Федерации в сфере охраны здоровья будет проведен
 анализ фактически сложившейся ситуации по обеспечению населения медицинскими
 кадрами в разрезе специальностей с учетом сложившейся нагрузки на врачей и
 средний медицинский персонал и на основе потребности в медицинских работниках
 центром будут разработаны рекомендации для органов исполнительной власти
 субъектов Российской Федерации по ликвидации дефицита кадров.
 Разработанные рекомендаций
 будут учтены субъектами Российской Федерации при корректировке региональных
 программ, в том числе в части мероприятий по переобучению и переквалификации
 медицинских работников профицитных специальностей по дефицитным направлениям.</t>
  </si>
  <si>
    <t>Увеличена численность средних медицинских работников, работающих в государственных медицинских организациях, тыс. человек нарастающим итогом</t>
  </si>
  <si>
    <t>Мероприятия результата "Увеличена численность средних медицинских работников, работающих в государственных медицинских организациях, тыс. человек нарастающим итогом" погружены в план мероприятий результата "Увеличена численность врачей, работающих в государственных медицинских организациях, тыс. человек нарастающим итогом"</t>
  </si>
  <si>
    <t>Проведение мероприятий для завершения формирования сети национальных медицинских исследовательских центров</t>
  </si>
  <si>
    <t>Сформирована сеть национальных медицинских исследовательских центров (количество центров нарастающим итогом)</t>
  </si>
  <si>
    <t>По результатам аудита научных организаций Минздрава России с учетом рекомендаций
 межведомственного Президиума Научного совета Минздрава России в 2019 году из
 перечня учреждений-лидеров в сеть национальных медицинских исследовательских центров
 приказом Минздрава России дополнительно включено не менее 1 федерального
 государственного учреждения, подведомственного Минздраву России.
 Национальные медицинские исследовательские центры (НМИЦ) будут осуществлять функции «головных»
 организаций, состоящие в методическом руководстве деятельности краевых,
 областных, республиканских (окружных) медицинских организаций субъектов
 Российской Федерации по отдельным профилям оказания медицинской помощи.
 Деятельность
 НМИЦ будет осуществляться в соответствии с планом мероприятий, утверждаемым
 руководителем НМИЦ по согласованию с Минздравом России.
 На
 оснащение НМИЦ оборудованием и/или программным обеспечением для проведения
 консультаций/консилиумов с применением телемедицинских технологий и
 дистанционных образовательных мероприятий, а также для осуществления разработок
 персонифицированных подходов в медицине Минздравом России будут предоставлены субсидии на иные цели. 
 Перечень закупаемого оборудования будет формироваться НМИЦ в первом
 квартале 2019 года и будет согласован Минздравом России.
 Будут увеличены мощности ранее созданного Федерального ресурсного центра по
 внедрению и применению информационных технологий для обеспечения технологической возможности применения дистанционных
 технологий. 
 Также будет разработана и утверждена архитектура и прототип
 специализированных вертикально интегрированных медицинских информационных
 систем по отдельным профилям оказания медицинской помощи.
 В целях отработки современных методов диагностики, лечения и реабилитации
 в интересах практического здравоохранения в 2019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
 Для развития НМИЦ в 2020 году в четвертом квартале 2019 года НМИЦ будет
 представлен на согласование в Минздрав России перечень планируемого к закупке
 оборудования, что позволит оперативно продолжить реализацию мероприятий в
 последующие годы.
 2020 г.
 По результатам аудита научных организаций Минздрава России с учетом
 рекомендаций межведомственного Президиума Научного совета Минздрава России в
 2020 году из перечня учреждений-лидеров в сеть национальных медицинских центров
 приказом Минздрава России дополнительно включено не менее 1 федерального
 государственного учреждения, подведомственного Минздраву России.
 В соответствии с согласованными в конце 2019 года перечнями оборудования
 НМИЦ будет приобретено оборудование, которое позволит за счет применения
 современных технологий сократить сроки и повысить качество и эффективность
 диагностики, лечения и реабилитации пациентов, в том числе проживающих на территории других субъектов Российской
 Федерации (не менее 50% от общего числа поступивших в НМИЦ пациентов).
 Будет обеспечена работоспособность информационно-коммуникационной
 инфраструктуры, включая наращивание вычислительных мощностей, а также продолжена
 работа на базе увеличенных мощностей федерального ресурсного центра по
 внедрению и применению информационных технологий и национальных медицинских исследовательских центров для проведения
 консультаций/консилиумов с применением телемедицинских технологий, а также
 дистанционных образовательных мероприятий.
 В соответствии с разработанной ранее архитектурой и прототипом, будет
 обеспечена разработка, развитие и внедрение специализированных вертикально
 интегрированных медицинских информационных систем по отдельным профилям
 оказания медицинской помощи (онкология, акушерство и гинекология в 2020г.).
 В целях отработки современных методов диагностики, лечения и реабилитации
 в интересах практического здравоохранения в 2020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
 2021 г.
 По результатам аудита научных организаций Минздрава России с учетом
 рекомендаций межведомственного Президиума Научного совета Минздрава России в
 2021 году из перечня учреждений-лидеров в сеть национальных медицинских центров
 приказом Минздрава России дополнительно включены не менее 2 федеральных
 государственных учреждений, подведомственных Минздраву России.
 В соответствии с согласованными ранее перечнями оборудования НМИЦ будет продолжено
 приобретение оборудования, которое позволит за счет применения современных
 технологий сократить сроки и повысить качество и эффективность диагностики,
 лечения и реабилитации пациентов, в том числе проживающих на территории других субъектов Российской Федерации (не
 менее 55% от общего числа поступивших в НМИЦ пациентов).
 Будет обеспечена работоспособность информационно-коммуникационной
 инфраструктуры, включая наращивание вычислительных мощностей, а также
 продолжена работа на базе увеличенных мощностей федерального ресурсного центра по
 внедрению и применению информационных технологий и национальных медицинских исследовательских центров для проведения
 консультаций/консилиумов с применением телемедицинских технологий, а также
 дистанционных образовательных мероприятий.
 Будет продолжена разработка и внедрение специализированных вертикально
 интегрированных медицинских информационных систем по отдельным профилям
 оказания медицинской помощи (профилактическая медицина, сердечно-сосудистые
 заболевания в 2021 г.).
 Будет осуществлена интеграция специализированных вертикально
 интегрированных медицинских информационных систем национальных медицинских
 исследовательских центров по отдельным профилям оказания медицинской помощи с
 подсистемами ЕГИСЗ, государственными информационными системами в сфере
 здравоохранения субъектов Российской Федерации и медицинскими информационными
 системами медицинских организаций.
 В целях отработки современных методов диагностики, лечения и реабилитации
 в интересах практического здравоохранения в 2021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
 2022 г.
 По результатам аудита научных организаций Минздрава России с учетом
 рекомендаций межведомственного Президиума Научного совета Минздрава России в
 2022 году из перечня учреждений-лидеров в сеть национальных медицинских центров
 приказом Минздрава России дополнительно включено не менее 1 федерального
 государственного учреждения, подведомственного Минздраву России.
 В соответствии с согласованными ранее перечнями оборудования НМИЦ будет
 продолжено приобретение оборудования,
 которое позволит за счет применения современных технологий сократить сроки и
 повысить качество и эффективность диагностики, лечения и реабилитации пациентов,
 в том числе проживающих на территории
 других субъектов Российской Федерации (не менее 60% от общего числа
 поступивших в НМИЦ пациентов).
 Будет обеспечена дальнейшая работоспособность
 информационно-коммуникационной инфраструктуры, включая наращивание
 вычислительных мощностей, а также продолжена работа на базе увеличенных
 мощностей федерального ресурсного центра по внедрению и применению информационных
 технологий и национальных медицинских
 исследовательских центров для проведения консультаций/консилиумов с применением
 телемедицинских технологий, а также дистанционных образовательных мероприятий.
 Будет обеспечено развитие специализированных вертикально интегрированных
 медицинских информационных систем по отдельным профилям оказания медицинской
 помощи и их интеграция с подсистемами ЕГИСЗ, государственными информационными
 системами в сфере здравоохранения субъектов Российской Федерации и медицинскими
 информационными системами медицинских организаций.
 В целях отработки современных методов диагностики, лечения и реабилитации
 в интересах практического здравоохранения в 2022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
 2023 г.
 В соответствии с согласованными ранее перечнями оборудования НМИЦ будет
 продолжено приобретение оборудования,
 которое позволит за счет применения современных технологий сократить сроки и
 повысить качество и эффективность диагностики, лечения и реабилитации пациентов,
 в том числе проживающих на территории
 других субъектов Российской Федерации (не менее 65% от общего числа
 поступивших в НМИЦ пациентов).
 Будет обеспечена дальнейшая работоспособность
 информационно-коммуникационной инфраструктуры, включая наращивание
 вычислительных мощностей, а также продолжена работа на базе увеличенных
 мощностей федерального ресурсного центра по внедрению и применению информационных
 технологий и национальных медицинских
 исследовательских центров для проведения консультаций/консилиумов с применением
 телемедицинских технологий, а также дистанционных образовательных мероприятий.
 Будет обеспечено развитие специализированных вертикально интегрированных
 медицинских информационных систем по отдельным профилям оказания медицинской
 помощи и их интеграция с подсистемами ЕГИСЗ, государственными информационными
 системами в сфере здравоохранения субъектов Российской Федерации и медицинскими
 информационными системами медицинских организаций.
 В целях отработки современных методов диагностики, лечения и реабилитации
 в интересах практического здравоохранения в 2023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
 2024 г.
 В соответствии с согласованными ранее перечнями оборудования НМИЦ будет
 продолжено приобретение оборудования,
 которое позволит за счет применения современных технологий сократить сроки и
 повысить качество и эффективность диагностики, лечения и реабилитации пациентов,
 в том числе проживающих на территории
 других субъектов Российской Федерации (не менее 65% от общего числа
 поступивших в НМИЦ пациентов).
 Будет обеспечена дальнейшая работоспособность информационно-коммуникационной
 инфраструктуры, включая наращивание вычислительных мощностей, а также
 продолжена работа на базе увеличенных мощностей федерального ресурсного центра по
 внедрению и применению информационных технологий и национальных медицинских исследовательских центров для проведения
 консультаций/консилиумов с применением телемедицинских технологий, а также
 дистанционных образовательных мероприятий.
 Будет обеспечено развитие специализированных вертикально интегрированных
 медицинских информационных систем по отдельным профилям оказания медицинской
 помощи и их интеграция с подсистемами ЕГИСЗ, государственными информационными
 системами в сфере здравоохранения субъектов Российской Федерации и медицинскими
 информационными системами медицинских организаций.
 В целях отработки современных методов диагностики, лечения и реабилитации
 в интересах практического здравоохранения в 2024 году НМИЦ будет закуплено оборудование
 для материально-технического обеспечения приоритетных разработок
 персонифицированных подходов в медицине в рамках направленного инновационного
 развития здравоохранения, поддержки наиболее актуальных и практически
 ориентированных разработок, включающих развитие персонализированной медицины,
 онкологии, регенеративной медицины, вакцинологии и микробиологии.</t>
  </si>
  <si>
    <t>Внедрение инновационных медицинских технологий, включая систему ранней диагностики и дистанционный мониторинг состояния здоровья пациентов, и клинических рекомендаций</t>
  </si>
  <si>
    <t>Количество проведенных национальными медицинскими исследовательскими центрами дистанционных консультаций/консилиумов с применением телемедицины для региональных медицинских организаций третьего уровня, тыс. консультаций нарастающим итогом</t>
  </si>
  <si>
    <t>Под региональными медицинскими организациями третьего уровня понимаются краевые, республиканские, областные, окружные медицинские организации субъектов Российской Федерации. 2019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
 2020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
 2021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
 2022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
 2023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
 2024 г.
 По заявкам краевых,
 республиканских, областных, окружных медицинских организаций субъектов Российской Федерации национальными
 медицинскими исследовательскими центрами будут проведены консультации/консилиумы
 с применением телемедицинских технологий, результаты которых будут оформлены
 совместными протоколами и внесены в соответствующие медицинские карты пациентов.
 Страховые медицинские организации в ходе контрольно-экспертных
 мероприятий оказания медицинской помощи будут оценивать исполнение
 рекомендаций, выданных в ходе консультаций/консилиумов с применением
 телемедицинских технологий и принимать меры при выявлении дефектов в оказании
 медицинской помощи.
 Это позволит повысить эффективность оказания медицинской помощи пациентам
 и улучшить результаты лечения.</t>
  </si>
  <si>
    <t>По результатам клинической апробации включены в клинические рекомендации новые методы профилактики, диагностики, лечения и реабилитации (количество новых методов нарастающим итогом)</t>
  </si>
  <si>
    <t xml:space="preserve"> В соответствии с государственными
 заданиями федеральным государственным бюджетным учреждениям в 2019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
 Не менее 10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
 2020 г.В соответствии с государственными
 заданиями федеральным государственным бюджетным учреждениям в 2020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эффективности.За 2019 – 2020 годы не менее 20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
 2021 г.В соответствии с государственными
 заданиями федеральным государственным бюджетным учреждениям в 2021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
 За 2019 – 2021 годы не менее 30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
 2022 г.В соответствии с государственными
 заданиями федеральным государственным бюджетным учреждениям в 2022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
 За 2019 – 2022 годы не менее 40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
 2023 г.В соответствии с государственными
 заданиями федеральным государственным бюджетным учреждениям в 2023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
 За 2019 – 2023 годы не менее 50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
 2024 г.В соответствии с государственными
 заданиями федеральным государственным бюджетным учреждениям в 2024 году будет
 проведена клиническая апробация новых методов профилактики, диагностики,
 лечения и реабилитации и осуществлена оценка их клинико-экономической
 эффективности.
 За 2019 – 2024 годы не менее 60
 новых методов профилактики, диагностики, лечения и реабилитации, в отношении
 которых Экспертным советом Министерства здравоохранения Российской Федерации
 будет принято решение о наличии клинико-экономической эффективности, будут
 рекомендованы для включения профессиональными медицинскими некоммерческими
 организациями в клинические рекомендации с последующим их включением в
 стандарты медицинской помощи.</t>
  </si>
  <si>
    <t>Внедрены системы контроля качества медицинской помощи на основе клинических рекомендаций в региональных медицинских организациях третьего уровня (количество организаций нарастающим итогом)</t>
  </si>
  <si>
    <t xml:space="preserve">  В национальных медицинских исследовательских центрах для осуществления
 организационно-методической работы по профилю оказания медицинской помощи
 созданы специализированные структурные подразделения.
 Сотрудниками данных подразделений с привлечением работников национальных
 медицинских исследовательских центров в 2019 году будет осуществлено не менее
 630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220 интерактивных образовательных
 модулей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2019 год, включая анализ состояния
 организации оказания медицинской помощи по профилю в субъектах Российской
 Федерации и рекомендации по ее совершенствованию.В ФГБУ «ЦЭККМП» Минздрава России будет создано структурное подразделение и начата работа по организационно-методической поддержке НМИЦ по внедрению системы контроля качества медицинской помощи на основе клинических рекомендаций и критериев оценки качества медицинской помощи, а также анализа состояния организации оказания медицинской помощи в субъектах Российской Федерации. По результатам осуществления ФГБУ «ЦЭККМП» Минздрава России организационно-методической работы будет представлен итоговый отчет.
 2020 г.
 В национальных медицинских исследовательских центрах для осуществления
 организационно-методической работы по профилю оказания медицинской помощи будет
 продолжена деятельность специализированных структурных подразделений.
 Сотрудниками данных подразделений с привлечением работников национальных
 медицинских исследовательских центров в 2020 году будет осуществлено не менее
 720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В
 ходе выездов будет проведен анализ соответствия состояния контроля качества
 оказания медицинской помощи установленным требованиям к его организации и
 проведению.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450 интерактивных образовательных
 модулей (нарастающим итогом)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2020 год, включая анализ состояния
 организации оказания медицинской помощи по профилю в субъектах Российской
 Федерации и рекомендации по ее совершенствованию.
 В ФГБУ «ЦЭККМП» Минздрава России функционирует структурное подразделение и выполняется работа по организационно-методической поддержке НМИЦ по внедрению системы контроля качества медицинской помощи на основе клинических рекомендаций и критериев оценки качества медицинской помощи, а также анализа состояния организации оказания медицинской помощи в субъектах Российской Федерации. По результатам осуществления ФГБУ «ЦЭККМП» Минздрава России организационно-методической работы будет представлен годовой отчет.2021 г.
 В национальных медицинских исследовательских центрах для осуществления
 организационно-методической работы по профилю оказания медицинской помощи будет
 продолжена деятельность специализированных структурных подразделений.
 Сотрудниками данных подразделений с привлечением работников национальных
 медицинских исследовательских центров в 2021 году будет осуществлено не менее
 780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В
 ходе выездов будет проведен анализ соответствия состояния контроля качества оказания
 медицинской помощи установленным требованиям к его организации и проведению.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690 интерактивных образовательных
 модулей (нарастающим итогом)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2021 год, включая анализ состояния
 организации оказания медицинской помощи по профилю в субъектах Российской
 Федерации и рекомендации по ее совершенствованию.
 2022 г.
 В национальных медицинских исследовательских центрах для осуществления
 организационно-методической работы по профилю оказания медицинской помощи будет
 продолжена деятельность специализированных структурных подразделений.
 Сотрудниками данных подразделений с привлечением работников национальных медицинских
 исследовательских центров в 2022 году будет осуществлено не менее 810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В
 ходе выездов будет проведен анализ соответствия состояния контроля качества
 оказания медицинской помощи установленным требованиям к его организации и
 проведению.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950 интерактивных образовательных
 модулей (нарастающим итогом)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2022 год, включая анализ состояния
 организации оказания медицинской помощи по профилю в субъектах Российской
 Федерации и рекомендации по ее совершенствованию.
 В ФГБУ «ЦЭККМП» Минздрава России функционирует структурное подразделение и выполняется работа по организационно-методической поддержке НМИЦ по внедрению системы контроля качества медицинской помощи на основе клинических рекомендаций и критериев оценки качества медицинской помощи, а также анализа состояния организации оказания медицинской помощи в субъектах Российской Федерации. По результатам осуществления ФГБУ «ЦЭККМП» Минздрава России организационно-методической работы будет представлен годовой отчет.
 2023 г.
 В национальных медицинских исследовательских центрах для осуществления
 организационно-методической работы по профилю оказания медицинской помощи будет
 продолжена деятельность специализированных структурных подразделений.
 Сотрудниками данных подразделений с привлечением работников национальных
 медицинских исследовательских центров в 2023 году будет осуществлено не менее
 810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В
 ходе выездов будет проведен анализ соответствия состояния контроля качества
 оказания медицинской помощи установленным требованиям к его организации и
 проведению.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1220 интерактивных образовательных
 модулей (нарастающим итогом)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2023 год, включая анализ состояния
 организации оказания медицинской помощи по профилю в субъектах Российской
 Федерации и рекомендации по ее совершенствованию.
 В ФГБУ «ЦЭККМП» Минздрава России функционирует структурное подразделение и выполняется работа по организационно-методической поддержке НМИЦ по внедрению системы контроля качества медицинской помощи на основе клинических рекомендаций и критериев оценки качества медицинской помощи, а также анализа состояния организации оказания медицинской помощи в субъектах Российской Федерации. По результатам осуществления ФГБУ «ЦЭККМП» Минздрава России организационно-методической работы будет представлен годовой отчет.
 2024 г.
 В национальных медицинских исследовательских центрах для осуществления
 организационно-методической работы по профилю оказания медицинской помощи будет
 продолжена деятельность специализированных структурных подразделений.
 Сотрудниками данных подразделений с привлечением работников национальных
 медицинских исследовательских центров в 2024 году будет осуществлено не менее
 810 выездов в краевые, республиканские,
 областные, окружные медицинские
 организации субъектов Российской Федерации (и/или
 их структурные подразделения), либо организации, выполняющие их функции, с
 целью проведения организационно-методических мероприятий на местах.
 В
 ходе выездов будет проведено внедрение системы
 контроля качества медицинской помощи на основе клинических рекомендаций,
 включающих, в том числе, инновационные медицинские технологии, и критериев
 оценки качества медицинской помощи.
 На
 основе анализа профессиональной деятельности врачей и выявленных в ходе выездов
 проблемных вопросов с учетом порядков оказания медицинской помощи и клинических
 рекомендаций НМИЦ будут разработаны не менее 1490 интерактивных образовательных
 модулей (нарастающим итогом) по профилям деятельности национальных медицинских исследовательских центров, размещенных на портале непрерывного медицинского
 образования, созданном Минздравом России, в целях предотвращения дефектов в
 оказании медицинской помощи.
 По результатам осуществления национальными медицинскими
 исследовательскими центрами организационно-методической деятельности по
 профилям оказания медицинской помощи, в том числе по итогам выездных
 мероприятий, мероприятий с применением телемедицинских технологий, в конце года
 будут представлены итоговые отчеты за 2019-2024 годы, включая анализ состояния
 организации оказания медицинской помощи по профилю в субъектах Российской
 Федерации и рекомендации по ее совершенствованию.В ФГБУ «ЦЭККМП» Минздрава России функционирует структурное подразделение и выполняется работа по организационно-методической поддержке НМИЦ по внедрению системы контроля качества медицинской помощи на основе клинических рекомендаций и критериев оценки качества медицинской помощи, а также анализа состояния организации оказания медицинской помощи в субъектах Российской Федерации. По результатам осуществления ФГБУ «ЦЭККМП» Минздрава России организационно-методической работы будет представлен годовой отчет.</t>
  </si>
  <si>
    <t>Внедрены единые требования к структуре клинических рекомендаций при оказании медицинской помощи</t>
  </si>
  <si>
    <t>Создание механизмов взаимодействия медицинских организаций на основе единой государственной информационной системы в сфере здравоохранения, внедрение цифровых технологий и платформенных решений</t>
  </si>
  <si>
    <t>Обеспечена методическая поддержка и координация реализации мероприятий федерального проекта в субъектах Российской Федерации, разработаны требования к подсистемам государственных информационных систем в сфере здравоохранения субъектов Российской Федерации центром компетенций цифровой трансформации сферы здравоохранения.</t>
  </si>
  <si>
    <t>В 2019 году приказом
 Минздрава России на базе ФГБУ «Центральный научно-исследовательский институт
 организации и информатизации здравоохранения» Минздрава России будет создан
 центр компетенций цифровой трансформации сферы здравоохранения, обеспечивающий
 в том числе методическую поддержку и координацию реализации мероприятий
 федерального проекта в субъектах Российской Федерации, разработку и
 актуализацию нормативно-справочной информации для функционирования единого
 цифрового контура в здравоохранении на основе ЕГИСЗ.
 В 2019 году центром
 компетенций цифровой трансформации сферы здравоохранения будет сформирована концепция и план на период
 2019-2024 гг. разработки единой системы
 нормативно-справочной информации в сфере здравоохранения.
 В 2019 году центром
 компетенций цифровой трансформации сферы здравоохранения будут разработаны методические рекомендации по обеспечению функциональных возможностей централизованных систем (подсистем) государственных
 информационных систем в сфере здравоохранения субъектов Российской Федерации, по
 отдельным профилям и нозологиям:
 Управление
 скорой и неотложной медицинской помощью (в том числе санитарной авиации);Организации
 оказания медицинской помощи больным онкологическими заболеваниями;Организации
 оказания медицинской помощи больным сердечно-сосудистыми заболеваниями;Организации
 оказания медицинской помощи по профилям «Акушерство и гинекология» и
 «Неонатология» (Мониторинг беременных);Организации
 оказания профилактической медицинской помощи (диспансеризация, диспансерное
 наблюдение, профилактические осмотры).
 Разработаны
 методические рекомендации по проведению оценки (включая методики и критерии)
 уровня информатизации медицинских организаций в части использования технологий
 цифрового здравоохранения и уровня информатизации систем здравоохранения
 субъектов Российской Федерации.
 Будут
 организованы технические условия для создания и активного применения и
 технологий (включая медицинские приборы), платформенных решений участниками
 сферы здравоохранения, их апробации на базе национальных медицинских
 исследовательских центров и образовательных организаций Минздрава России, и
 тиражирования в медицинских организациях субъектов Российской Федерации.</t>
  </si>
  <si>
    <t>100% медицинских организаций государственной и муниципальной систем здравоохранения субъектов Российской Федерации обеспечивают межведомственное электронное взаимодействие, в том числе с учреждениями медико-социальной экспертизы.</t>
  </si>
  <si>
    <t>Г</t>
  </si>
  <si>
    <t>Обеспечена защищенная сеть передачи данных, к которой подключены не менее 80% структурных подразделений медицинских организаций.</t>
  </si>
  <si>
    <t>В 2021 году в  субъектах Российской Федерации будут созданы и обеспечено функционирование
 защищенных сетей передачи данных, к которым будет подключено не менее 80%
 территориально-выделенных структурных подразделений медицинских организаций
 государственной и муниципальной систем здравоохранения субъектов Российской
 Федерации (в том числе фельдшерские и фельдшерско-акушерские пункты,
 подключенные к сети Интернет).</t>
  </si>
  <si>
    <t>К 2022 году 100% медицинских организаций будут обеспечивать межведомственное
 электронное взаимодействие с учреждениями медико-социальной экспертизы по
 обмену документами для установления инвалидности, в том числе в целях
 сокращения количества очных обращений граждан в учреждения МСЭ, путем доработки
 функционала медицинских информационных систем, для передачи направления на
 медико-социальную экспертизу и сопутствующей медицинской документации в форме
 электронных документов посредством ЕГИСЗ в бюро медико-социальной экспертизы.
 К
 2022 году 100% медицинских организаций будут обеспечивать
 межведомственное электронное взаимодействие с фондом социального страхования
 (передача электронных листков нетрудоспособности), а также с Министерством
 труда и социального развития при обмене информацией в соответствии с законодательством
 Российской Федерации, в том числе о назначенных и оказанных мерах социальной
 поддержки гражданам.</t>
  </si>
  <si>
    <t>Организовано не менее 820 тысяч автоматизированных рабочих мест медицинских работников при внедрении и эксплуатации медицинских информационных систем, соответствующих требованиям Минздрава России в медицинских организациях государственной и муниципальной систем здравоохранения субъектов Российской Федерации.</t>
  </si>
  <si>
    <t>В 2021 году с учетом закупаемого субъектами Российской
 Федерации оборудования и программного обеспечения будет организовано не менее 820 тысяч
 автоматизированных рабочих мест медицинских работников (нарастающим итогом) при
 внедрении и эксплуатации медицинских информационных систем, соответствующих
 требованиям Минздрава России в медицинских организациях государственной и
 муниципальной систем здравоохранения субъектов Российской Федерации</t>
  </si>
  <si>
    <t>В 85 субъектах Российской Федерации функционирует централизованная подсистема государственной информационной системы в сфере здравоохранения «Телемедицинские консультации», к которой подключены все медицинские организации государственной и муниципальной систем здравоохранения субъектов Российской Федерации второго и третьего уровней.</t>
  </si>
  <si>
    <t>В 2022 году все медицинские организации государственной и муниципальной
 систем здравоохранения субъектов Российской Федерации второго и третьего
 уровней будут подключены к централизованной подсистеме государственной
 информационной системы в сфере здравоохранения субъектов Российской федерации
 «Телемедицинские консультации», для врачей будет обеспечена возможность получения
 консультаций по сложным клиническим случаям.
 Медицинские работники медицинских организаций второго и третьего уровней
 будут обучены принципам проведения телемедицинских консультаций.</t>
  </si>
  <si>
    <t>85 субъектов Российской Федерации реализовали систему электронных рецептов.</t>
  </si>
  <si>
    <t>К 2023 году медицинские
 работники медицинских организаций 85 субъектов Российской Федерации будут
 оформлять назначение лекарственных препаратов (рецептов) в форме электронного
 документа с использованием усиленной квалифицированной электронной подписи
 медицинского работника (электронный рецепт), в том числе на препараты, подлежащие
 изготовлению и отпуску аптечными организациями (лекарственные препараты индивидуального
 изготовления).
 Медицинские работники,
 участвующие в процессе оформления рецептов будут обучены технологии и
 методологии формирования электронных рецептов.
 В
 85 субъектах Российской Федерации будет организовано информационное
 взаимодействие медицинских и аптечных организаций при оформлении рецептов и
 отпуске лекарственных препаратов, сформированных в форме электронных рецептов.</t>
  </si>
  <si>
    <t>85 субъектов реализовали региональные проекты «Создание единого цифрового контура в здравоохранении на основе единой государственной информационной системы здравоохранения (ЕГИСЗ)» с целью внедрения в медицинских организациях государственной и муниципальной систем здравоохранения медицинских информационных систем, соответствующих требованиям Минздрава России и реализации государственных информационных систем в сфере здравоохранения, соответствующих требованиям Минздрава России, обеспечивающих информационное взаимодействие с подсистемами ЕГИСЗ</t>
  </si>
  <si>
    <t>Между Министерством здравоохранения Российской Федерации и высшими исполнительными органами власти
 субъектов Российской Федерации (ежегодно в период 2019-2024 гг.) будут
 заключены соглашения о предоставлении субсидий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К 2022 году 100% медицинских
 организаций государственной и муниципальной систем здравоохранения субъектов
 Российской Федерации будут использовать медицинские информационные системы,
 соответствующие требованиям Минздрава России обеспечивая информационное
 взаимодействие с подсистемами ЕГИСЗ. 
 Ежегодно более 500тысяч врачей будет обеспечиваться сертификатами
 усиленной квалифицированной электронной подписи (УКЭП) для ведения юридически
 значимого электронного документооборота.
 В 2019 году будут проведены работы по обследованию и оценке медицинских
 информационных систем, эксплуатирующихся в государственных и муниципальных
 медицинских организациях 85субъектов Российской Федерации на соответствие
 требованиям, утвержденным Минздравом России, проведены работы по модернизации и
 развитию медицинских информационных систем, эксплуатирующихся в государственных
 и муниципальных медицинских организациях 85субъектов Российской Федерации
 для соответствия требованиям Минздрава России, обеспечивающие в том числе: 
 ведение электронного расписания
 приема врачей;ведение электронных медицинских карт пациентов, в
 соответствии с клиническими рекомендациями;формирование автоматической выгрузки счетов
 (реестров счетов) в территориальные фонды обязательного медицинского
 страхования;создание и хранение юридически значимых электронных
 медицинских документов, включая структурированные электронные медицинские
 документы; информационное взаимодействие с государственными
 информационными системами в сфере здравоохранения субъектов
 РоссийскойФедерации;информационное взаимодействие с подсистемами ЕГИСЗ в
 целях оказания медицинской помощи и электронных услуг (сервисов) для граждан.
 В 2019 году 85 субъектов Российской Федерации утвердят планы дооснащения
 государственных и муниципальных медицинских организаций
 информационно-телекоммуникационным оборудованием.
 С 2019 по 2021 годы поэтапно будут осуществлены закупки и ввод в
 эксплуатацию информационно-коммуникационного оборудования в государственных и
 муниципальных медицинских организациях 85 субъектов Российской Федерации. 
 Медицинские организации, в том числе за счет предоставленных субсидий по
 итогам конкурсных процедур будут оснащены необходимым
 информационно-телекоммуникационным оборудованием, локальными вычислительными
 сетями, необходимым серверным оборудованием, компьютерами для
 автоматизированных рабочих мест медицинских работников, криптографическим
 оборудованием для обеспечения защищенной сети передачи данных, электронными
 подписями для врачей, внедрены медицинские информационные системы,
 соответствующие требованиям Минздрава России.
 К 2022 году в 85субъектах Российской Федерации будут осуществлены
 закупки и ввод в эксплуатацию программно-технических средств, обеспечивающих
 функционирование региональных защищенных сетей передачи данных и подключение к
 ним не менее 80% структурных подразделений государственных и муниципальных
 медицинских организаций.
 Все медицинские работники будут обучены использованию медицинских
 информационных систем, соответствующих требованиям Минздрава России.
 К 2023
 году, в результате мероприятий проводимых субъектами Российской Федерации в
 целях создания и развития государственных информационных систем в сфере
 здравоохранения, в 85 субъектах Российской Федерации будут реализованы и
 использоваться государственные информационные системы в сфере здравоохранения,
 к которым подключены медицинские организации государственной и муниципальной
 систем здравоохранения (частные медицинские организации, по решению таких
 организаций), осуществляется информационное взаимодействие с ЕГИСЗ.
 Субъектами
 Российской Федерации будут организованы соответствующие мероприятия в целях
 обеспечения работоспособности вычислительных мощностей для функционирования
 государственных информационных систем в сфере здравоохранения субъектов
 Российской Федерации. Функционирует региональная защищенная сеть передачи
 данных, которая подключена к защищенной сети передачи данных ЕГИСЗ.
 Государственные
 информационные системы в сфере здравоохранения субъектов Российской Федерации
 будут включать, в том числе централизованные системы (подсистемы):
  Управление скорой и неотложной
 медицинской помощью (в том числе санитарной авиации);
  Управление льготным лекарственным
 обеспечением;
  Управление потоками пациентов;
  Ведения интегрированных электронных
 медицинских карт пациентов;
  Телемедицинские консультации;
  Лабораторные исследования;
  Центральный архив медицинских
 изображений; 
  Организации оказания медицинской
 помощи больным онкологическими заболеваниями;
  Организации оказания медицинской
 помощи больным сердечно-сосудистыми заболеваниями;
  Организации оказания медицинской
 помощи по профилям «Акушерство и гинекология» и «Неонатология» (Мониторинг
 беременных);
  Организации оказания
 профилактической медицинской помощи (диспансеризация, диспансерное наблюдение,
 профилактические осмотры).
 Медицинские
 работники будут обучены использованию централизованных систем (подсистем)
 государственных информационных систем в сфере здравоохранения по отдельным
 профилям оказания медицинской помощи.
 В
 результате будет сокращено время ожидания гражданами медицинской помощи за счет
 реализации системы управления маршрутизацией и потоками пациентов, запись на
 обследования к узким специалистам медицинских организаций второго и третьего
 уровня будет обеспечиваться из подразделений медицинских организаций на приеме
 у врача.
 К
 концу 2020 года во всех субъектах Российской Федерации будет функционировать
 централизованная система (подсистема) «Управление скорой и неотложной
 медицинской помощью (в том числе санитарной авиации)», созданы
 автоматизированные системы региональных центров приема и обработки вызовов,
 обеспечивается контроль времени доезда санитарного автотранспорта,
 маршрутизация пациентов при неотложных состояниях в специализированные
 медицинские организации, врачу скорой помощи обеспечен доступ к сведениям об
 аллергическом статусе и хронических диагнозах пациентов.
 Также
 к концу 2020 года во всех субъектах Российской Федерации посредством
 централизованной системы (подсистемы) «Управления льготным лекарственным
 обеспечением» будет организовано своевременное обеспечение населения льготными
 лекарственными препаратами, мониторинг остатков лекарственных препаратов в
 медицинских и аптечных организациях, автоматизирован весь процесс, от
 формирования заявки медицинской организацией на закупку лекарственных
 препаратов до получения сведений о выданных лекарственных препаратах. 
 К 2023
 году во всех субъектах Российской Федерации будет осуществляться мониторинг
 состояния здоровья пациентов по отдельным профилям заболеваний с учетом
 факторов риска путем подключения всех структурных подразделений медицинских
 организаций к централизованным системам (подсистемам): «Организации оказания
 медицинской помощи больным онкологическими заболеваниями», «Организации
 оказания медицинской помощи больным сердечно-сосудистыми заболеваниями», «Организации оказания медицинской помощи по
 профилям «Акушерство и гинекология» и «Неонатология» (Мониторинг беременных)»,
 «Организации оказания профилактической медицинской помощи (диспансеризация,
 диспансерное наблюдение, профилактические осмотры)».</t>
  </si>
  <si>
    <t>Медицинские организации, подведомственные федеральным органам исполнительной власти Российской Федерации (за исключением федеральных органов исполнительной власти, в которых федеральными законами предусмотрена военная служба или приравненная к ней служба) используют медицинские информационные системы, соответствующие требованиям Минздрава России, обеспечивают информационное взаимодействие с подсистемами ЕГИСЗ и с другими отраслевыми информационными системами при оказании медицинской помощи гражданам.</t>
  </si>
  <si>
    <t>К 2023 году все медицинские
 организации, подведомственные федеральным органам исполнительной власти Российской
 Федерации (за исключением федеральных органов исполнительной власти, в которых
 федеральными законами предусмотрена военная служба или приравненная к ней
 служба), будут оснащены информационно-коммуникационным оборудованием,
 подключены к защищенной сети передачи данных Минздрава России, рабочие места
 будут оснащены компьютерным оборудованием для автоматизированных рабочих мест,
 внедрены медицинские информационные системы, соответствующие требованиям
 Минздрава России, обеспечено информационное взаимодействие с подсистемами
 ЕГИСЗ. 
 К 2023 году при организационно-методической
 поддержке национальных медицинских исследовательских центров будут разработаны
 и внедрены централизованные цифровые технологии и платформенные решения, в том
 числе на основе вертикально интегрированных медицинских информационных систем
 по ряду профилей оказания медицинской помощи, обеспечивающие взаимодействие
 государственных информационных систем в сфере здравоохранения субъектов
 Российской Федерации и ЕГИСЗ в целях
 реализации наиболее востребованных и перспективных инновационных цифровых
 медицинских сервисов.</t>
  </si>
  <si>
    <t>Единая государственная информационная система обеспечивает единый цифровой контур в сфере здравоохранения, взаимодействуя с государственными информационными системами в сфере здравоохранения субъектов Российской Федерации, медицинскими информационными системами медицинских организаций, с Единым порталом государственных услуг и функций для предоставления услуг и сервисов гражданам в личном кабинете пациента «Мое здоровье».</t>
  </si>
  <si>
    <t>В период
 2019-2024 г.г. Минздравом России будут заключены государственные контракты для обеспечения работоспособности вычислительных
 мощностей федерального центра обработки данных (основная, резервная площадки
 ЕГИСЗ) в целях бесперебойного функционирования подсистем ЕГИСЗ (в режиме 24 на
 7), а также работоспособность
 вычислительных мощностей федерального центра обработки данных (тестовая
 площадка ЕГИСЗ) для обеспечения тестирования новых версий подсистем ЕГИСЗ и
 тестирования информационного взаимодействия с государственными информационными
 системами в сфере здравоохранения субъектов Российской Федерации, медицинскими
 информационными системами медицинских организаций, иными информационными
 системами.
 Минздравом
 России будут заключены государственные
 контракты в целях обеспечения функционирования Единой государственной
 информационной системы в сфере здравоохранения, в том числе на ежегодное
 техническое сопровождение, модернизацию и развитие подсистем единой
 государственной информационной системы в сфере здравоохранения:
 федеральный регистр медицинских работников;
 федеральный реестр медицинских организаций;
 федеральная электронная регистратура;
 федеральная интегрированная электронная медицинская
 карта;
 федеральный реестр электронных медицинских документов;
 подсистема ведения специализированных регистров
 пациентов по отдельным нозологиям и категориям граждан, мониторинга организации
 оказания высокотехнологичной медицинской помощи и санаторно-курортного лечения;
 информационно-аналитическая подсистема мониторинга и
 контроля в сфере закупок лекарственных препаратов для обеспечения
 государственных и муниципальных нужд;
 подсистема автоматизированного сбора информации о
 показателях системы здравоохранения из различных источников и представления
 отчетности;
 федеральный реестр нормативно-справочной информации в
 сфере здравоохранения;
 подсистема обезличивания персональных данных;
 геоинформационная подсистема;
 защищенная сеть передачи данных;
 интеграционные подсистемы; 
 Будет
 осуществляться информационное взаимодействие между подсистемами ЕГИСЗ и
 государственными информационными системами в сфере здравоохранения субъектов
 Российской Федерации, медицинскими информационными системами медицинских
 организаций.
 Граждане Российской Федерации
 будут использовать услуги и сервисы в Личном кабинете пациента «Мое здоровье»
 на Едином портале государственных услуг и функций. В 2019 году не
 менее 6,4 млн. граждан, а к концу 2024 года не менее 38 млн. граждан используют услуги Личного кабинета
 пациента «Мое здоровье» на Едином портале государственных услуг и функций, в
 котором доступны в том числе услуги и сервисы: 
 запись на
 прием к врачу; запись на
 профилактический медицинский осмотр и диспансеризацию;вызов
 врача на дом (по решению субъекта Российской Федерации);получение
 информации о прикреплении к медицинской организации;получение
 сведений о полисе ОМС и страховой медицинской организации;получение
 сведений об оказанных медицинских услугах и их стоимости;доступ к
 электронным медицинским документам;оценка
 удовлетворённости граждан качеством работы медицинских организаций.
 К концу 2024 года не менее 90%
 медицинских организаций обеспечат доступ для граждан к юридически значимым
 электронным медицинским документам посредством Личного кабинета пациента «Мое
 здоровье» на Едином портале
 государственных услуг и функций.</t>
  </si>
  <si>
    <t>Внедрены медицинские информационные системы в 80% медицинских организаций</t>
  </si>
  <si>
    <t>К концу  2019 года 80% медицинских организаций (юридических лиц) и не менее 63%территориально-выделенныхструктурных подразделений, входящих в состав юридических лиц медицинских
 организацийгосударственной и муниципальной систем здравоохранения 85субъектов
 Российской Федерации будут использовать медицинские информационные системы,
 обеспечивающие взаимодействие с подсистемами ЕГИСЗ ("Федеральная
 электронная регистратура", "Федеральная интегрированная электронная
 медицинская карта")</t>
  </si>
  <si>
    <t>100% медицинских организаций обеспечивают для граждан доступ к юридически значимым электронным медицинским документам посредством Личного кабинета пациента «Мое здоровье» на Едином портале государственных и муниципальных услуг</t>
  </si>
  <si>
    <t>В 2024 году 100% территориально-выделенных структурных подразделений медицинских организаций государственной и
 муниципальной систем здравоохранения 85 субъектов Российской Федерации, передающих
 сведения об электронных медицинских документах, созданных при оказании
 медицинской помощи населению, в подсистему ЕГИСЗ «федеральный реестр электронных
 медицинских документов» для предоставления гражданам электронных медицинских
 документов в Личном кабинете пациента «Мое здоровье» на Едином портале
 государственных и муниципальных услуг (функций).</t>
  </si>
  <si>
    <t>Совершенствование механизма экспорта медицинских услуг</t>
  </si>
  <si>
    <t>Разработана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на период 2019–2024 гг.</t>
  </si>
  <si>
    <t>В 2019 году Минздравом России совместно с АО "Российский экспортный центр" будет проведен мониторинг существующих барьеров развития экспорта медицинских услуг. На основании результатов мониторинга Минздравом России совместно с Министерством экономического развития Российской Федерации, АО "Российский экспортный центр" и Ростуризмом в первом полугодии 2019 года будет разработана и утверждена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на период 2019 - 2024 гг., которой будут предусмотрено: создание информационных материалов на русском и иностранных языках о ведущих медицинских организациях Российской Федерации и доступных медицинских услугах; участие представителей органов государственной власти, включая мероприятия по улучшению инфраструктуры медицинских организаций и развитие сервисных услуг; участие представителей медицинских организаций и распространение информационных материалов на выставках, посвященных тематике экспорта медицинских услуг.</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</si>
  <si>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2024 год</t>
  </si>
  <si>
    <t>Создан и функционирует координирующий центр по вопросам экспорта медицинских услуг</t>
  </si>
  <si>
    <t>В 2019 году приказом Минздрава России на подведомственное федеральное государственное учреждение будут возложены функции координирующего центра, регулирующего вопросы:разработки и внедрения системы мониторинга статистических данных медицинских организаций по объему оказания медицинских услуг иностранным гражданам, в том числе в денежном эквиваленте; разработки и внедрения программы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на период 2019-2024 гг.; анализа структуры международного экспорта медицинских услуг; осуществления межсекторального взаимодействия по оценке потенциала наращивания экспорта медицинских услуг; разработки комплекса мер по увеличению объемов экспорта медицинских услуг.Деятельность центра будет регулироваться в рамках установления государственного задания и контроля за его исполнением.Центром по итогам каждого года будет формироваться отчет о результатах мероприятий, а также рекомендации по повышению их эффективности.</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</si>
  <si>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2019 год</t>
  </si>
  <si>
    <t>На основании программы коммуникационных мероприятий со второй половины 2019 года с участием АО "Российский экспортный центр" и Ростуризма будет начата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2019 год планируется привлечь дополнительно к уровню 2018 года 132 тыс. человек.</t>
  </si>
  <si>
    <t>Разработана система мониторинга статистических данных медицинских организаций по объему оказания медицинских услуг иностранным гражданам, в том числе в финансовом выражении, включая методику расчета показателей</t>
  </si>
  <si>
    <t>В 2019 году Минздравом России совместно с Росстатом будут внесены изменения в формы федерального статического наблюдения (форму № 30, утвержденную приказом Росстата от 27 декабря 2016 г. № 866 и форму № 62, утвержденную приказом Росстата от 2 ноября 2018 г. № 658). Это позволит учитывать всех иностранных граждан, получивших медицинские услуги в государственных и муниципальных медицинских организациях, а также стоимость этих услуг. В целях учета числа иностранных граждан, пролеченных в негосударственных медицинских организациях, и стоимости их лечения будут внесены изменения в состав показателей, сбор которых осуществляет Банк России с выделением категории "Медицинские услуги" в совокупном экспорте услуг по статье "Поездки". Это позволит учитывать сведения о всех иностранных гражданах, получивших медицинскую помощь на территории Российской Федерации, в медицинских организациях частной формы собственности. Кроме того, для сверки данных будет организован обмен данными между Минздравом России и МВД России, Ростуризмом и МИД России о числе иностранных граждан, пересекающих границу Российской Федерации с целью медицинского туризма, а также проработан механизм взаимодействия с ФНС России в целях получения дополнительной информации по объему экспорта медицинских услуг в медицинских организациях Российской Федерации разных форм собственности. Для проверки достоверности данных сведения о сборе и передаче информации будут проверяться Росздравнадзором в ходе проводимых в медицинских организациях контрольных мероприятий.</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</si>
  <si>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2020 год</t>
  </si>
  <si>
    <t>На основании программы коммуникационных мероприятий в 2020 году с участием АО "Российский экспортный центр", Ростуризма и органов исполнительной власти субъектов Российской Федерации будет проведена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2020 год планируется привлечь 696 тыс. человек.</t>
  </si>
  <si>
    <t>Внедрена система мониторинга статистических данных медицинских организаций по объему оказания медицинских услуг иностранным гражданам, в том числе в финансовом выражении, включая методику расчета показателей</t>
  </si>
  <si>
    <t>В 2020-2024 годах на основании измененных форм статистического наблюдения будут осуществлены сбор и выверка данных о числе иностранных граждан, получивших медицинские услуги в медицинских организациях Российской Федерации, а также об их стоимости. Для проверки достоверности данных сведения о сборе и передаче информации будут проверяться Росздравнадзором в ходе проводимых в медицинских организациях контрольных мероприятий.</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</si>
  <si>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2021 год</t>
  </si>
  <si>
    <t>На основании программы коммуникационных мероприятий в 2021 году с участием АО "Российский экспортный центр", Ростуризма и органов исполнительной власти субъектов Российской Федерации будет проведена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2021 год планируется привлечь 828 тыс. человек.</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</si>
  <si>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2022 год</t>
  </si>
  <si>
    <t>На основании программы коммуникационных мероприятий в 2022 году с участием АО "Российский экспортный центр", Ростуризма и органов исполнительной власти субъектов Российской Федерации будет проведена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2022 год планируется привлечь 960 тыс. человек.</t>
  </si>
  <si>
    <t>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2023 год</t>
  </si>
  <si>
    <t>На основании программы коммуникационных мероприятий в 2023 году с участием АО "Российский экспортный центр", Ростуризма и органов исполнительной власти субъектов Российской Федерации будет проведена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2023 год планируется привлечь 1080 тыс. человек.</t>
  </si>
  <si>
    <t>На основании программы коммуникационных мероприятий в 2024 году с участием АО "Российский экспортный центр", Ростуризма и органов исполнительной власти субъектов Российской Федерации будет проведена реализация мероприятий по привлечению иностранных граждан для оказания им медицинской помощи в медицинских организациях Российской Федерации. Всего за 2024 год планируется привлечь 1200 тыс. человек.</t>
  </si>
  <si>
    <t>Внедрение механизма финансовой поддержки семей при рождении детей</t>
  </si>
  <si>
    <t>Показатели "суммарный коэффициент рождаемости вторых детей", "суммарный коэффициент рождаемости третьих и последующих детей", "коэффициенты рождаемости в возрастной группе 35-39 лет (число родившихся на 1000 женщин соответствующего возраста)" включены в систему показателей федерального проекта</t>
  </si>
  <si>
    <t>Росстатом будет определена методика расчета
 показателей "суммарный коэффициент рождаемости вторых детей",
 "суммарный коэффициент рождаемости третьих и последующих детей", "коэффициенты рождаемости в возрастной группе
 35-39 лет (число родившихся на 1000 женщин соответствующего возраста)".
 Правительством
 Российской Федерации будет принято распоряжение "О внесении изменений в
 Федеральный план статистических работ, утвержденный распоряжением Правительства
 Российской Федерации от 6 мая 2008 г. 
 № 671-р", в части включения показателей "суммарный коэффициент
 рождаемости вторых детей", "суммарный коэффициент рождаемости третьих
 и последующих детей", "коэффициенты
 рождаемости в возрастной группе 35-39 лет (число родившихся на 1000 женщин
 соответствующего возраста)".
 Информация о прогнозных значениях показателей
 "суммарный коэффициент рождаемости вторых детей", "суммарный
 коэффициент рождаемости третьих и последующих детей", "коэффициенты рождаемости в возрастной группе
 35-39 лет (число родившихся на 1000 женщин соответствующего возраста)" до 2024 года будет представлена Росстатом в Минтруд
 России.
 В целях осуществления
 качественного мониторинга достижения цели федерального проекта система показателей
 федерального проекта будет дополнена показателями "суммарный коэффициент
 рождаемости вторых детей", "суммарный коэффициент рождаемости третьих
 и последующих детей", "коэффициенты рождаемости в возрастной группе
 35-39 лет (число родившихся на 1000 женщин соответствующего возраста)".</t>
  </si>
  <si>
    <t>Минтрудом России субъектам Российской Федерации будут доведены лимиты
 бюджетных обязательств на осуществление переданных полномочий по назначению и
 выплате ежемесячной выплаты в связи с рождением (усыновлением) первого ребенка.
 Органами исполнительной власти субъектов Российской Федерации будет осуществлено
 назначение и выплата ежемесячной выплаты в связи с рождением (усыновлением)
 первого ребенка на основании заявлений граждан.
 Минтрудом России будет осуществлен мониторинг предоставления 
 ежемесячной выплаты в связи с рождением (усыновлением) первого ребенка за счет
 субвенций из федерального бюджета.</t>
  </si>
  <si>
    <t>Предложения о необходимости совершенствования механизма предоставления ежемесячных выплат в связи с рождением (усыновлением) первого или второго ребенка подготовлены</t>
  </si>
  <si>
    <t>Минтрудом России совместно с органами исполнительной власти субъектов
 Российской Федерации, Пенсионным фондом Российской Федерации, заинтересованными
 федеральными органами исполнительной власти будет проведен анализ эффективности
 механизма предоставления ежемесячных выплат в связи с рождением (усыновлением)
 первого или второго ребенка.
 В целях совершенствования законодательства Российской Федерации о
 предоставлении ежемесячных выплат в связи с рождением (усыновлением) первого
 или второго ребенка Минтрудом России будут подготовлены и представлены в
 Правительство Российской Федерации предложения
 о необходимости совершенствования механизма предоставления ежемесячных
 выплат в связи с рождением (усыновлением) первого или второго ребенка</t>
  </si>
  <si>
    <t>В целях оказания дополнительных мер государственной поддержки в виде
 материнского (семейного) капитала Пенсионным фондом Российской Федерации и его
 территориальными органами будет организован прием и своевременное рассмотрение заявлений
 о распоряжении средствами (частью средств) материнского (семейного) капитала,
 своевременное перечисление средств по принятым решениям.
 Пенсионным фондом Российской Федерации и его территориальными органами в
 федеральный регистр лиц, имеющих право на дополнительные меры государственной
 поддержки, будет внесена информация о принятых решениях об
 удовлетворении заявлений о распоряжении средствами (частью средств)
 материнского (семейного) капитала</t>
  </si>
  <si>
    <t>Предложения об изменении механизма индексации размера материнского (семейного) капитала представлены в Правительство Российской Федерации</t>
  </si>
  <si>
    <t>Минтрудом России совместно с заинтересованными федеральными органами
 исполнительной власти и Пенсионным фондом Российской Федерации будет проведен анализ
 эффективности механизма индексации размера материнского (семейного) капитала.
 В целях совершенствования
 законодательства Российской Федерации о дополнительных мерах государственной
 поддержки семей, имеющих детей, по результатам проведенного анализа Минтрудом
 России будут подготовлены и представлены в Правительство Российской Федерации
 предложения об изменении механизма индексации размера материнского (семейного)
 капитала.</t>
  </si>
  <si>
    <t>Анализ механизма предоставления субсидирования ипотеки по ставке 6% годовых проведен, предложения о необходимости совершенствования данного механизма подготовлены</t>
  </si>
  <si>
    <t>Минфином России совместно с российскими кредитными организациями и АО "ДОМ.РФ"
 будет проведен анализ эффективности механизма субсидирования ипотечных кредитов
 (займов), предоставленных семьям, имеющим двух и более детей, по ставке 6
 процентов годовых.
 По результатам проведенного
 анализа Минфином России совместно с заинтересованными федеральными органами
 исполнительной власти будут подготовлены и представлены в Правительство
 Российской Федерации предложения по совершенствованию механизма субсидирования
 ипотечных кредитов (займов), предоставленных семьям, имеющим двух и более
 детей, по ставке 6 процентов годовых</t>
  </si>
  <si>
    <t>Семьи с двумя и более детьми воспользовались правом получения ипотечного кредита (займа) по ставке 6 процентов годовых</t>
  </si>
  <si>
    <t>Минфином России будут рассмотрены заявления кредитных организаций и
 акционерного общества "ДОМ.РФ" о предоставлении субсидии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с увеличением количества активно вовлеченных организаций,
 предоставляющих ипотечные кредиты (займы) гражданам, имеющим детей по ставке 6
 процентов годовых.
 Российским кредитным организациям и акционерному обществу
 "ДОМ.РФ" Минфином России будут предоставлены субсидии из федерального
 бюджета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Минфином России будет размещена
 информация о количестве выданных российскими кредитными организациями и АО "ДОМ.РФ"
 ипотечных кредитов (займов) гражданам Российской Федерации, имеющим детей, по
 ставке 6 процентов годовых, на сайте Минфина России по адресу www.minfin.ru/ru/perfomance/GovSupport/orders/</t>
  </si>
  <si>
    <t>Семьи с тремя и более детьми получат ежемесячную денежную выплату, назначаемую в случае рождения третьего ребенка или последующих детей до достижения ребенком возраста 3 лет</t>
  </si>
  <si>
    <t>Органами исполнительной власти субъектов Российской Федерации, в
 отношении которых за счет бюджетных ассигнований федерального
 бюджета будет осуществляться софинансирование расходных обязательств субъектов
 Российской Федерации, возникающих при установлении нуждающимся в поддержке
 семьям ежемесячной денежной выплаты, предусмотренной пунктом 2 Указа Президента
 Российской Федерации от 7 мая 2012 г. № 606 "О мерах по реализации
 демографической политики Российской Федерации", будут приняты необходимые
 нормативные правовые акты.
 Минтрудом России с субъектами Российской Федерации будут заключены
 соглашения о предоставлении субсидии из федерального бюджета на
 софинансирование расходных обязательств субъектов Российской Федерации,
 возникающих при назначении ежемесячной денежной выплаты в связи с рождением
 третьего ребенка или последующих детей.
 Минтрудом России будет осуществлен мониторинг предоставления 
 ежемесячной денежной выплаты в связи с рождением третьего ребенка или
 последующих детей.</t>
  </si>
  <si>
    <t>Количество циклов экстракорпорального оплодотворения, выполненных семьям, страдающим бесплодием, за счет средств базовой программы обязательного медицинского страхования</t>
  </si>
  <si>
    <t>Минздравом России совместно с органами исполнительной власти субъектов Российской Федерации будет организована медицинская помощь семьям, страдающим бесплодием, с использованием экстракорпорального оплодотворения за счет средств базовой программы обязательного медицинского страхования. Органы исполнительной власти субъектов Российской Федерации будут осуществлять контроль за своевременным направлением медицинскими организациями, оказывающими первичную специализированную медицинскую помощь, пациентов с бесплодием на экстракорпоральное оплодотворение в сроки, установленные приказом Министерства здравоохранения Российской Федерации от 30 августа 2012 г. № 107н "О Порядке использования вспомогательных репродуктивных технологий, противопоказаниях и ограничениях к их применению".</t>
  </si>
  <si>
    <t>В 2019 году реализованы дополнительные меры, направленные на поддержку рождаемости на Дальнем Востоке, включающие оказание поддержки за счет средств федерального бюджета бюджетам субъектов Российской Федерации, входящих в состав Дальневосточного федерального округа,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t>
  </si>
  <si>
    <t>Будут  определены дополнительные меры поддержки семей при рождении детей,
 предоставляемые в субъектах Российской Федерации Дальневосточного федерального
 округа, в отношении которых будет осуществляться софинансирование расходных
 обязательств за счет средств федерального бюджета.
 Органами
 исполнительной власти субъектов Российской
 Федерации, входящих в состав Дальневосточного федерального округа, будет представлена
 в Минтруд России информация о принятии дополнительных мер, направленных на
 поддержку рождаемости.
 Минтрудом России будут представлены в Правительство Российской
 Федерации предложения о подходах к оказанию поддержки за счет средств
 федерального бюджета бюджетам субъектов Российской Федерации, входящих в состав
 Дальневосточного федерального округа</t>
  </si>
  <si>
    <t>Ежегодно обеспечено не менее 2,5 миллионов просмотров телевизионных и радиопрограмм, телевизионных документальных фильмов, Интернет-сайтов, направленных на сохранение семейных ценностей, поддержку материнства и детства</t>
  </si>
  <si>
    <t>Роспечатью будет оказана государственная поддержка производства
 телевизионных и радиопрограмм, телевизионных документальных фильмов,
 направленных на сохранение семейных ценностей, поддержку материнства и детства,
 создания в информационно-телекоммуникационной сети "Интернет"
 тематических Интернет- ресурсов.
 Будут созданы и размещены в
 эфире теле- и радиоканалов телевизионные и радиопрограммы, телевизионные
 документальные фильмы, направленные на сохранение семейных ценностей, поддержку материнства и
 детства, созданы в информационно-коммуникационной сети "Интернет"
 тематические Интернет-ресурсы</t>
  </si>
  <si>
    <t>Ежегодно тираж периодических печатных изданий, реализовавших проекты, направленные на сохранение семейных ценностей, поддержку материнства и детства, составил не менее 500 тысяч экземпляров</t>
  </si>
  <si>
    <t>Роспечатью будет оказана государственная поддержка периодическим печатным
 изданиям на реализацию проектов, направленных на сохранение семейных ценностей,
 поддержку материнства и детства.
 В периодических печатных
 изданиях будут реализованы проекты, направленные на сохранение семейных
 ценностей, поддержку материнства и детства.</t>
  </si>
  <si>
    <t>Семьи, имеющие двух и более детей получили государственный сертификат на материнский (семейный) капитал</t>
  </si>
  <si>
    <t>В целях оказания дополнительных мер государственной поддержки в виде
 материнского (семейного) капитала Пенсионным фондом Российской Федерации и его
 территориальными органами будет организован прием и своевременное рассмотрение
 заявлений о выдаче государственного сертификата на материнский (семейный)
 капитал.
 Пенсионным фондом Российской Федерации и его территориальными органами в
 федеральный регистр лиц, имеющих право на дополнительные меры государственной
 поддержки, будет внесена информация о принятых в 2019 году решениях о выдаче
 государственного сертификата на материнский (семейный) капитал</t>
  </si>
  <si>
    <t>Предложения о необходимости совершенствования механизмов распоряжения средствами материнского (семейного) капитала, в том числе по продлению программы материнского (семейного) капитала после 2021 года, представлены в Правительство Российской Федерации</t>
  </si>
  <si>
    <t>Минтрудом России совместно с заинтересованными федеральными органами
 исполнительной власти и Пенсионным фондом Российской Федерации будет проведен
 анализ механизмов распоряжения средствами материнского (семейного) капитала и
 оценка целесообразности продления программы материнского (семейного) капитала
 после 2021 года.
 В целях совершенствования
 законодательства Российской Федерации о дополнительных мерах государственной
 поддержки семей, имеющих детей, Минтрудом России будут подготовлены и
 представлены в Правительство Российской Федерации предложения о необходимости
 совершенствования механизмов распоряжения средствами материнского (семейного)
 капитала, в том числе по продлению программы материнского (семейного) капитала
 после 2021 года</t>
  </si>
  <si>
    <t>В субъектах Российской Федерации, входящих в состав Дальневосточного федерального округа, семьи при рождении первого ребенка получат единовременную выплату, семьям при рождении второго ребенка будет предоставлен региональный материнский (семейный) капитал</t>
  </si>
  <si>
    <t>Будет осуществлено софинансирование
 расходных обязательств за счет средств федерального бюджета дополнительных мер
 поддержки семей при рождении детей, предоставляемых в субъектах Российской
 Федерации, входящих в состав Дальневосточного федерального округа</t>
  </si>
  <si>
    <t>К концу 2024 года количество активно вовлеченных российских кредитных организаций, предоставляющих ипотечные кредиты (займы) семьям, имеющим двух и более детей, по ставке 6 процентов годовых, увеличится в 5 раз</t>
  </si>
  <si>
    <t>Минфином России будут рассмотрены заявления кредитных организаций и
 акционерного общества "ДОМ.РФ" о предоставлении субсидии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с увеличением количества активно вовлеченных организаций, предоставляющих
 ипотечные кредиты (займы) гражданам, имеющим детей по ставке 6 процентов
 годовых до 15 организаций в отчетном году.
 Российским кредитным организациям и акционерному обществу
 "ДОМ.РФ" Минфином России будут предоставлены субсидии из федерального
 бюджета на возмещение недополученных доходов по выданным (приобретенным)
 жилищным (ипотечным) кредитам (займам), предоставленным гражданам Российской
 Федерации, имеющим детей.
 Минфином России будет размещена
 информация о количестве выданных российскими кредитными организациями и АО "ДОМ.РФ"
 ипотечных кредитов (займов) гражданам Российской Федерации, имеющим детей, по
 ставке 6 процентов годовых, на сайте Минфина России по адресу www.minfin.ru/ru/perfomance/GovSupport/orders/</t>
  </si>
  <si>
    <t>В 2019 году реализованы дополнительные меры, направленные на поддержку рождаемости на Дальнем Востоке, включающие оказание поддержки за счет средств федерального бюджета бюджетам субъектов Российской Федерации, входящих в состав Дальневосточного федерального округа, на осуществление ежемесячной денежной выплаты в связи с рождением третьего ребенка или последующих детей, независимо от величины суммарного коэффициента рождаемости в регионе</t>
  </si>
  <si>
    <t>Проведен комплекс исследовательских работ по теме: "Демографическая политика Российской Федерации: факторы стимулирования принятия решения о рождении первого и второго ребенка, а также последующих детей"</t>
  </si>
  <si>
    <t>Создание условий для осуществления трудовой деятельности женщин, имеющих детей, включая достижение 100-процентной доступности (2021 год) дошкольного образования для детей в возрасте до трех лет</t>
  </si>
  <si>
    <t>В методических рекомендациях
 будут отражены вопросы, связанные с реализацией мероприятий по созданию условий
 для осуществления трудовой деятельности женщин,
 имеющих детей дошкольного возраста, что будет способствовать повышению
 эффективности реализации соответствующего мероприятия.</t>
  </si>
  <si>
    <t>Реализация мероприятия по
 организации переобучения и повышения квалификации женщин в период отпуска по
 уходу за ребенком до достижения им возраста трех лет способствует созданию
 адаптационных условий для возвращения указанной категории женщин к трудовой
 деятельности, а также повышению их конкурентоспособности на рынке труда и увеличения
 профессиональной мобильности.</t>
  </si>
  <si>
    <t>В условиях существования
 значительных демографических проблем на территории Дальневосточного
 федерального округа предусматривается организация переобучения и повышения
 квалификации женщин в период отпуска по уходу за ребенком в возрасте до трех
 лет, в том числе проживающих в Дальневосточном федеральном округе, в
 соответствии с определенным рейтингом приоритетности для обеспечения достижения
 запланированных показателей.</t>
  </si>
  <si>
    <t>В 2020-2024 годах в субъектах
 Российской Федерации обучение прошли не менее 230 тыс.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</si>
  <si>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Актуализация механизмов  поддержки позволит обеспечить эффективное функционирование негосударственного сектора
 в сфере дошкольного образования в субъектах Российской Федерации</t>
  </si>
  <si>
    <t>Письмо</t>
  </si>
  <si>
    <t>Включение в региональные
 программы мероприятий по созданию дополнительных
 мест для детей в возрасте от полутора до трех лет позволит создать необходимые нормативные правовые,
 организационные и финансово-экономические условия для их последующей реализации
 на территории субъектов Российской Федерации</t>
  </si>
  <si>
    <t>НПА Субъекта РФ</t>
  </si>
  <si>
    <t>Реализация мероприятий региональных программ по созданию дополнительных мест для детей в возрасте от полутора до трех лет позволит:-повысить доступность дошкольного образования,- увеличить сеть образовательных организаций, реализующих образовательные программы дошкольного образования;- удовлетворить актуальный спрос населения в дошкольном образовании и присмотре и уходе за детьми;- создатьпотенциальную возможность для выхода на работу экономически активных родителей (законных представителей), имеющих детей в возрасте до трёх лет;-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до трёх лет, а также повышения материально-финансовой состоятельности семей</t>
  </si>
  <si>
    <t>Отчет</t>
  </si>
  <si>
    <t>Заключение указанных
 соглашений позволит обеспечить нормативные правовые, организационные и
 финансово-экономические условия для предоставления субсидии из федерального бюджета бюджетам субъектов Российской
 Федерации на финансовое обеспечение мероприятий по созданию дополнительных мест
 для детей в возрасте от полутора до трех лет</t>
  </si>
  <si>
    <t>Внесение изменений в
 нормативные правовые акты различного уровня позволят создать нормативные
 правовые, организационно-методические и финансово-экономические условия для
 развития механизмов поддержки негосударственного сектора дошкольного
 образования, в том числе на основе государственно-частного партнерства</t>
  </si>
  <si>
    <t>Принятый НПА</t>
  </si>
  <si>
    <t>Указанные Методические
 рекомендации позволят обеспечить реализацию соответствующих
 мероприятий настоящего федерального проекта по повышению квалификации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присмотра и ухода за детьми дошкольного возраста в
 негосударственном секторе дошкольного образования</t>
  </si>
  <si>
    <t>Утверждение указанных правил
 позволит создать нормативные правовые, организационные и
 финансово-экономические условия для реализации мероприятий
 по созданию дополнительных мест для детей в возрасте от полутора до трех лет в
 организациях (негосударственной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присмотру и уходу за детьми</t>
  </si>
  <si>
    <t>Постановление Правительства Российской Федерации</t>
  </si>
  <si>
    <t>​Утверждение указанного перечня позволит:- определить средств обучения и воспитания, необходимых для реализации образовательных программ дошкольного образования, соответствующих современным условиям;- регламентировать соответствующие затраты на создание обозначенных в перечне средств;- повысить эффективность реализации мероприятий по созданию дополнительных мест для детей в возрасте от полутора до трех лет в организациях (негосударственной формы собственности) и у индивидуальных предпринимателей, осуществляющих образовательную деятельность по образовательным программам дошкольного образования и присмотр и уход за детьми</t>
  </si>
  <si>
    <t>​Создание к концу 2019 года не менее 90 тыс. дополнительных мест для детей в возрасте до трех лет, в том числе путем строительства зданий (пристройки к зданию), приобретения (выкупа) зданий (пристройки к зданию) и помещений дошкольных организаций), в отношении которых имеется типовая проектная документация из соответствующих реестров Минстроя России, позволит:- повысить доступность дошкольного образования, в том числе для детей с ОВЗ и детей-инвалидов;- увеличить сеть образовательных организаций, реализующих образовательные программы дошкольного образования;- удовлетворить актуальный спрос населения в дошкольном образовании и присмотре и уходе за детьми;- создать потенциальную возможность для выхода на работу экономически активных родителей (законных представителей), имеющих детей в возрасте до трёх лет;-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до трёх лет, а также повышения материально-финансовой состоятельности семей</t>
  </si>
  <si>
    <t>Повышение квалификации по
 вопросам организации и обеспечения реализации образовательных программ
 дошкольного образования и присмотра и ухода за детьми дошкольного возраста
 позволит сформировать кадровый потенциал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для обеспечения вновь создаваемых дополнительных мест в группах
 дошкольного образования</t>
  </si>
  <si>
    <t>Создание дополнительных мест для детей в возрасте от полутора до трех лет, в том числе путем строительства зданий (пристройки к зданию), приобретения (выкупа) зданий (пристройки к зданию) и помещений дошкольных организаций), в отношении которых имеется типовая проектная документация из соответствующих реестров Минстроя России, позволит:- повысить доступность дошкольного образования, в том числе для детей с ОВЗ и детей-инвалидов;- увеличить сеть образовательных организаций, реализующих образовательные программы дошкольного образования;- удовлетворить актуальный спрос населения в дошкольном образовании и присмотре и уходе за детьми;- создать потенциальную возможность для выхода на работу экономически активных родителей (законных представителей), имеющих детей в возрасте от полутора до трёх лет;- сохранить позитивные тенденции роста рождаемости за счет повышения социальной стабильности путем гарантированного доступного дошкольного образования и услуг по присмотру и уходу за детьми от полутора до трёх лет, а также повышения материально-финансовой состоятельности семей</t>
  </si>
  <si>
    <t>Разработка и реализация программы системной поддержки и повышения качества жизни граждан старшего поколения</t>
  </si>
  <si>
    <t>На основании анализа эффективности
 действующих региональных программ, направленных на увеличение периода активного
 долголетия и продолжительности здоровой жизни, проведенного Минтрудом России
 совместно с Минздравом России и заинтересованными федеральными органами
 исполнительной власти, а также с учетом
 положений доклада Всемирной организации здравоохранения о старении и здоровье,
 Минтрудом России будут подготовлены и
 направлены в срок до 15 апреля 2019 года в органы исполнительной власти
 субъектов Российской Федерации рекомендации по повышению эффективности мероприятий
 таких программ
 Рекомендации будут подготовлены для использования органами исполнительной власти субъектов
 Российской Федерации при актуализации существующих региональных программ и
 систематизации в отдельные разделы мер, направленных на повышение качества
 жизни граждан старшего поколения.</t>
  </si>
  <si>
    <t>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2024 году – не менее 70 процентов лиц старше трудоспособного возраста.</t>
  </si>
  <si>
    <t>Минздравом  России в целях проведения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в первом квартале 2019 года будут подготовлены и
 внесены изменения в календарь профилактических прививок по эпидемиологическим
 показаниям, утвержденный приказом Минздрава России от 21 марта 2014 г.
 №125н.Будут утверждены
 изменения в форму федерального статистического наблюде­ния №6
 "Сведения о контингентах детей и взрослых, привитых против инфекци­онных
 заболеваний", утвержденную приказом Росстата от 16сентября
 2016г. №518.</t>
  </si>
  <si>
    <t>Органами исполнительной
 власти субъектов Российской Федерации на основании рекомендаций Минтруда
 России, разработанных совместно с
 Минздравом России и заинтересованными федеральными органами исполнительной
 власти, в срок до 1 декабря 2019 года будут актуализированы действующие
 региональные программы и мероприятия этих программ по укреплению здоровья, увеличению периода
 активного долголетия и продолжительности здоровой жизни с учетом рекомендаций, подготовленных Минтрудом России в срок до 15 апреля 2019 г.по повышению
 эффективности мероприятийдействующих региональных программ, направленных на увеличение периода активного долголетия и
 продолжительности здоровой жизни.Указанные региональные
 программы будут включать мероприятия, направленные на получение образования
 (обучения), содействие занятости, поддержку физической активности пожилых
 людей, а также повышение доступности медицинской помощи и услуг в сфере
 социального обслуживания с учетом потребностей граждан старшего поколения.
 Мероприятия будут способствовать переходу пожилых людей на позитивные, активные
 и ориентированные на развитие позиции, включая волонтерство и
 "серебряное" волонтерство.В сфере социального
 обслуживания приоритетным будет развитие стационарозамещающих технологий с
 преимущественной ориентацией на предоставление социальных услуг на дому,
 технологий, обеспечивающих получение социальных услуг гражданами, проживающими
 в сельских территориях, расширение практики работы мобильных, в том числе
 межведомственных, бригад по оказанию различных услуг приоритетно в отдаленных,
 труднодоступных территориях.В сфере здравоохранения
 приоритетным будет являться обеспечение пожилых граждан диспансеризацией
 и профилактическими осмотрами, включая граждан, проживающих в сельских
 территориях. С 2020 года для пожилых людей, проживающих в сельской местности,
 будут введены дополнительные скрининги (выявление ранних признаков
 социально-значимых неинфекционных заболеваний), а также созданы условия для
 осуществления доставки лиц старше 65 лет, проживающих в сельской местности, в
 медицинские организации.
 По итогам утверждения актуализированных региональных программ
 нормативными правовыми актами органов исполнительной власти субъектов
 Российской Федерации соответствующая информация будет предоставлена ими в
 Минтруд России.</t>
  </si>
  <si>
    <t>Минздравом России в первом квартале 2019 года будут
 внесены изменения в порядок проведения диспансеризации определенных групп
 взрослого населения, утвержденный приказом Минздрава России от 26октября
 2017г. № 869н.
 Комиссиями по разработке территориальной программы обязательного медицинского
 страхования в субъектах Российской Федерации установлены объемы медицинской
 помощи медицинским организациям и тарифы на оплату профилактических осмотров,
 включая диспансеризацию, лиц старше трудоспособного возраста
 С учетом выделенных объемов медицинской помощи медицинскими организации,
 подведомственными органам государственной власти субъектов Российской Федерации
 в сфере охраны здоровья, будут проведены мероприятия, включая подворовые
 обходы, доставку пожилых граждан в медицинские организации, выезд медицинских
 бригад в отдаленные населенные пункты, обеспечивающие охват профилактическими
 осмотрами, включая диспансеризацию:
 в 2019 году не менее 23 процентов лиц старше трудоспособного возраста;
 в 2020 году - не менее 28 процентов лиц старше трудоспособного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2024 году - не менее 70 процентов лиц старше трудоспособного возраста.
 Кроме того, Минздравом России будут подготовлены
 и направлены в Росстат изменения в форму федерального статистического наблюдения
 №30 "Сведения о медицинской организации", утвержденную приказом
 Росстата от27декабря 2016г. №866
 "Обутверждении статистического инструментария для организации
 Министерством здравоохранения Российской Федерации федерального статистического наблюдения в сфере охраны здоровья", в части уточнения
 понятия "лица/граждане старше трудоспособного возраста".</t>
  </si>
  <si>
    <t>В
 первом квартале 2019 года Минздравом России будут внесены изменения в Порядок
 проведения диспансерного наблюдения, утвержденный приказом Минздрава России от
 21.12.2012 № 1344н.
 В
 субъектах Российской Федерации установлены объемы медицинской помощи с
 целью диспансерного наблюдения лиц
 старше трудоспособного возраста для медицинских организаций, оказывающих
 медицинскую помощь в амбулаторных условиях, и тарифы на оплату законченного
 случая диспансерного наблюдения.
 На основании выделенных объемов медицинской помощи медицинскими
 организациями будут проведены мероприятия по привлечению пожилых граждан,
 поставленных на диспансерный учет диспансерным наблюдением, включая проведение
 подворовых обходов, доставку пожилых граждан автобусным транспортом в
 медицинские организации, выезды в отдаленные населенные пункты медицинских
 бригад.</t>
  </si>
  <si>
    <t>На
 базе обособленного
 структурного подразделения ФГБОУ ВО РНИМУ им. Н.И. Пирогова Минздрава России
 «Российский геронтологический научно-клинический центр» будет создан федеральный центр координации
 деятельности субъектов Российской Федерации по развитию организации оказания
 медицинской помощи по профилю «гериатрия».
 С
 организационно-методической поддержкой федерального центра координации: в 2019 году в 7
 субъектах Российской Федерации будут созданы региональные гериатрические
 центры, в которых помощь получат не менее 11,0 тыс. граждан старше
 трудоспособного возраста.Будет разработан Минздравом России и апробирован в 7 субъектах Российской Федерации комплекс мер, направленный на профилактику и раннее выявление когнитивных нарушений у лиц пожилого и старческого возраста, профилактику падений и переломов.В 2020 году - в68 субъектах Российской Федерации будут созданы региональные гериатрические центры, в которых помощь получат не менее 130,0 тыс. граждан старше трудоспособного возраста;в 2021 году -в 70 субъектах Российской Федерации будут созданы региональные гериатрические центры, в которых помощь получат не менее 140,0 тыс. граждан старше трудоспособного возраста.в 2022 году - в 75 субъектах Российской Федерации будут созданы региональные гериатрические центры, в которых помощь получат не менее 150,0 тыс. граждан старше трудоспособного возраста.в 2023 году - в80 субъектах Российской Федерации будут созданы региональные гериатрические центры, в которых помощь получат не менее 155,0 тыс. граждан старше трудоспособного возраста.в 2024 году - в85 субъектах Российской Федерации будут созданы региональные гериатрические центры, в которых помощь получат не менее 160,0 тыс. граждан старше трудоспособного возраста.</t>
  </si>
  <si>
    <t>На базеобособленного структурного подразделения ФГБОУ ВО РНИМУ им. Н.И. Пирогова Минздрава России «Российский геронтологический научно-клинический центр»будет создан федеральный центр координации деятельности субъектов Российской Федерации по развитию организации оказания медицинской помощи по профилю «гериатрия».С организационно-методической поддержкой федерального центра координации: в 2019 году в 7 субъектах Российской Федерации будут созданы региональные гериатрические центры, в которых помощь получат не менее 11,0 тыс. граждан старше трудоспособного возраста.Будет разработан Минздравом России и апробирован в 7 субъектах Российской Федерации комплекс мер, направленный на профилактику и раннее выявление когнитивных нарушений у лиц пожилого и старческого возраста, профилактику падений и переломов.В 2020 году - в68 субъектах Российской Федерации будут созданы региональные гериатрические центры, в которых помощь получат не менее 130,0 тыс. граждан старше трудоспособного возраста;в 2021 году -в 70 субъектах Российской Федерации будут созданы региональные гериатрические центры, в которых помощь получат не менее 140,0 тыс. граждан старше трудоспособного возраста.в 2022 году - в 75 субъектах Российской Федерации будут созданы региональные гериатрические центры, в которых помощь получат не менее 150,0 тыс. граждан старше трудоспособного возраста.в 2023 году - в80 субъектах Российской Федерации будут созданы региональные гериатрические центры, в которых помощь получат не менее 155,0 тыс. граждан старше трудоспособного возраста.в 2024 году - в85 субъектах Российской Федерации будут созданы региональные гериатрические центры, в которых помощь получат не менее 160,0 тыс. граждан старше трудоспособного возраста.</t>
  </si>
  <si>
    <t>Минтрудом России будет обеспечено доведение средств федерального бюджета до субъектов Российской Федерации на расходные обязательства по приобретению автотранспорта в целях осуществления доставки лиц старше 65 лет, проживающих в сельской местности, в медицинские организации.
 Органами исполнительной власти субъектов Российской Федерации будут проведены конкурсные процедуры и закуплен автотранспорт, который начнет свою эксплуатацию к концу 2019 года, в том в целях осуществления доставки лиц старше 65 лет, проживающих в сельской местности, в медицинские организации.</t>
  </si>
  <si>
    <t>Обеспечено ежегодно не менее 2,5 миллионов просмотров телевизионных и радиопрограмм, телевизионных документальных фильмов, Интернет-сайтов, направленных на поддержку и повышение качества жизни граждан старшего поколения</t>
  </si>
  <si>
    <t>Роспечатью
 будет оказана государственная поддержка производства телевизионных и
 радиопрограмм, телевизионных документальных фильмов, направленных на поддержку и повышение
 качества жизни граждан старшего поколения, создания
 в информационно-телекоммуникационной сети "Интернет" тематических
 Интернет-ресурсов.
 Будут созданы и размещены в эфире теле- и
 радиоканалов телевизионные и радиопрограммы, телевизионные документальные
 фильмы, направленные на поддержку
 и повышение качества жизни граждан старшего поколения, созданы в информационно-телекоммуникационной
 сети "Интернет" тематические Интернет-ресурсы.</t>
  </si>
  <si>
    <t>Роспечатью будет оказана государственная поддержка периодическим печатным изданиям на реализацию проектов, направленных на поддержку и повышение качества жизни граждан старшего поколения.В периодических печатных изданиях будут реализованы проекты, направленных на поддержку и повышение качества жизни граждан старшего поколения.</t>
  </si>
  <si>
    <t>Осуществлен ежегодный мониторинг результатов реализации региональных программ, включающих мероприятия по увеличению периода активного долголетия и продолжительности здоровой жизни, в том числе оценено состояние здоровья граждан старше трудоспособного возраста, количество граждан старшего поколения занимающихся физической культурой и спортом на вновь созданных объектах, прошедших переподготовку и подготовку на специально организованных курсах, в том числе по вопросам компьютерной грамотности, и направлены соответствующие рекомендации органам исполнительной власти субъектов Российской Федерации о необходимости совершенствования таких программ</t>
  </si>
  <si>
    <t>Минздравом  России, Минтрудом России и Минспортом России в соответствии со сферами ведения ежегодно
 будет осуществлен мониторинг мероприятий региональных
 программ и, по его результатам, органам исполнительной власти субъектов
 Российской Федерации будут направлены рекомендации. 
 Сводные данные по мониторингу мероприятий
 региональных программ, Минтрудом России с учетом данных Минздрава России и
 Минспорта России, будут ежегодно направляться в Правительство Российской
 Федерации.</t>
  </si>
  <si>
    <t>Не менее 95 процентов лиц старше трудоспособного возраста из групп риска, проживающих в организациях социального обслуживания, прошли к концу 2024 года вакцинацию против пневмококковой инфекции</t>
  </si>
  <si>
    <t>Минздравом  России будет обеспечено доведение до субъектов Российской Федерации иных
 межбюджетных трансфертов на проведение вакцинации против пневмококковой
 инфекции.
 Органами исполнительной власти будет ежегодно проводиться вакцинация граждан старше трудоспособного возраста из групп
 риска, проживающих в организациях социального обслуживания.</t>
  </si>
  <si>
    <t>Профессиональными
 медицинскими некоммерческими организациями будут разработаны и направлены в
 Минздрав России клинические рекомендации по ведению 6 наиболее распространенных
 заболеваний, связанных с возрастом.
 После их одобрения Минздравом России клинические рекомендации будут
 утверждены профессиональными медицинскими некоммерческими организациями и
 размещены на сайте Минздрава России.</t>
  </si>
  <si>
    <t>Минздравом
 России будут разработаны и утверждены программы скрининга лиц старше 65 лет,
 проживающих в сельской местности, на выявление отдельных социально-значимых
 неинфекционных заболеваний, оказывающих вклад в структуру смертности населения.
 Будут
 подготовлены нормативные правовые акты и механизм финансового обеспечения
 программ скрининга лиц старше 65 лет, проживающих в сельской местности, на
 выявление отдельных социально-значимых неинфекционных заболеваний, оказывающих
 вклад в структуру смертности населения
 Органами
 государственной власти субъектов Российской Федерации в сфере охраны здоровья будет
 осуществлено проведение дополнительных скринингов лицам старше 65 лет,
 проживающим в сельской местности на выявление отдельных социально-значимых
 неинфекционных заболеваний, оказывающих вклад в структуру смертности населения,
 с возможностью доставки данных лиц в медицинские организации.</t>
  </si>
  <si>
    <t>Не менее 12 субъектов Российской Федерации, нарастающим итогом в 2019 году участвуют в пилотном проекте по созданию системы долговременного ухода за гражданами пожилого возраста и инвалидами, включающей сбалансированные социальное обслуживание и медицинскую помощь на дому, в полустационарной и стационарной форме с привлечением патронажной службы, а также поддержку семейного ухода 85 субъектов Российской Федерации, нарастающим итогом, 2020 год – не менее 18 субъектов Российской Федерации, 2021 год – не менее 24 субъектов Российской Федерации, с 2022 - 85 субъектов Российской Федерации участвуют в создании системы долговременного ухода</t>
  </si>
  <si>
    <t>Минтрудом
 России совместно с Минздравом России по согласованию с органами исполнительной
 власти субъектов Российской Федерации будут определены не менее чем 12
 «пилотных» субъектов Российской Федерации в 2019 году (18 в 2020 году, 24 в 2021 году (нарастающим итогом).
 Органами исполнительной власти «пилотных» регионов при методической
 поддержке Минтруда России и Минздрава России будет осуществлено поэтапное
 внедрение системы долговременного ухода (внедрение системы на территории
 регионов осуществляется поэтапно в течение трех лет), которая включает
 мероприятия по повышению эффективности межведомственного взаимодействия, включая
 процессы сбора, хранения и передачи информации о гражданах и их состояниях,
 характеризующих полную либо частичную утрату способности, либо возможности
 осуществлять самообслуживание, самостоятельно передвигаться, обеспечивать
 сохранение жизненных потребностей с целью планирования, координации оказания им
 социальных и иных услуг, медицинской помощи, организацию родственного ухода,
 проведение необходимых мероприятий на долговременной основе. Предполагается
 поддерживать развитие стационарозамещающих технологий, патронажных служб, а
 также совершенствование предоставления социальных услуг и медицинской помощи на
 дому.</t>
  </si>
  <si>
    <t>В 2019 году 8 процентов лиц старше трудоспособного возраста, признанных нуждающимися в социальном обслуживании, охвачены системой долговременного ухода в 12 пилотных регионах;
 в 2020 году - 12 процентов лиц старше трудоспособного возраста, признанных нуждающимися в социальном обслуживании, охвачены системой долговременного ухода в 18 пилотных регионах;
 в 2021 году - 16 процентов лиц старше трудоспособного возраста, признанных нуждающимися в социальном обслуживании, охвачены системой долговременного ухода в 24 пилотных регионах; 
 в 2022 году - 100 процентов лиц старше трудоспособного возраста, признанных нуждающимися в социальном обслуживании, охвачены системой долговременного ухода в 85 регионах.</t>
  </si>
  <si>
    <t>Будет принят приказ Минтруда России «О реализации
 пилотного проекта по созданию системы долговременного ухода за гражданами
 пожилого возраста и инвалидами в «пилотных» регионах с 2019 года».Будут утверждены
 (актуализированы) региональные планы мероприятий по реализации «пилотного»
 проекта по созданию системы долговременного ухода в «пилотных» регионах.В пилотном проекте по
 созданию системы долговременного ухода за гражданами пожилого возраста и
 инвалидами в 2019 году будут принимать участие 12 субъектов Российской Федерации:
 Республика Мордовия, Республика Татарстан, Камчатский край, Ставропольский
 край, Волгоградская область, Кемеровская область, Кировская область,
 Костромская область, Новгородская область, Рязанская область, Тульская область,
 г. Москва.В 2019 году 11 субъектам Российской Федерации будут предоставлены иные межбюджетные
 трансферты из федерального бюджета в
 целях софинансирования расходных обязательств субъектов Российской Федерации,
 возникающих при создании системы долговременного ухода
 за гражданами пожилого возраста и инвалидами (г. Москва
 будет реализовывать проект за счет собственных средств).
 В ходе внедрения системы долговременного ухода 8 процентов лиц старше трудоспособного возраста, признанных нуждающимися
 в социальном обслуживании, будут охвачены системой долговременного ухода в 12
 «пилотных» регионах.</t>
  </si>
  <si>
    <t>Росстатом
 будет определена методика расчета показателя "Ожидаемая продолжительность здоровой жизни".
 Будет
 принято распоряжение Правительства Российской Федерации "О внесении
 изменений в Федеральный план статистических работ, утвержденный распоряжением
 Правительства Российской Федерации от 6 мая 2008 г. № 671-р" о включении
 показателя "Ожидаемая продолжительность
 здоровой жизни" в Федеральный план
 статистических работ.
 Информация
 о базовых и прогнозных значениях показателя
 "Ожидаемая продолжительность здоровой жизни" до 2024 года будет представлена Росстатом в
 Минтруд России.
 Показатель
 "Ожидаемая продолжительность здоровой жизни" будет включен в систему
 показателей национального проекта и федерального проекта.
 Росстатом будет ежегодно проведено выборочное наблюдение состояния
 здоровья населения в целях оценки показателя ожидаемой продолжительности
 здоровой жизни.</t>
  </si>
  <si>
    <t>Софинансирование за счет средств федерального бюджета программ субъектов Российской Федерации, направленных на обеспечение безопасных и комфортных условий предоставления социальных услуг в сфере социального обслуживания (в 2019 – в 17 субъектах Российской Федерации, 2020 – в 25 субъекта Российской Федерации, 2021 – в 24 субъектах Российской Федерации, 2022 – в 24 субъектах Российской Федерации, 2023 – в 24 субъектах Российской Федерации, 2024 – в 26 субъектах Российской Федерации)</t>
  </si>
  <si>
    <t>Минтрудом России будут рассмотрены заявки субъектов Российской Федерации на
 предоставление субсидий из федерального бюджета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(к таким условиям относятся размещение граждан в
 помещениях, оборудованных по квартирному типу, организация предоставления
 социальных услуг на принципах «сопровождаемого проживания», исключить случаи
 проживания в одной комнате больше 3-х человек и т.п.).
 Органами исполнительной власти субъектов Российской Федерации за счет
 субсидий из федерального бюджета будут проведены конкурсные процедуры и
 заключены государственные контракты на проведение работ по строительству
 (реконструкции) организаций социального обслуживания.
 Задача органов исполнительной власти субъектов Российской Федерации довести
 техническую готовность объектов капитального строительства, строящихся в
 субъектах Российской Федерации за счет средств федерального бюджета на
 софинансирование расходных обязательств субъектов Российской Федерации,
 связанных с реализацией государственных программ, направленных на обеспечение
 безопасных и комфортных условий предоставления социальных услуг в сфере
 социального обслуживания, до значений, установленных соглашениями.
 Минстроем России совместно с Минтрудом России и другими заинтересованными
 федеральными органами, а также общественными и экспертными организациями
 проведен конкурс концепт-проектов домов для проживания пожилых людей и
 определены современные требования к зданиям организаций, осуществляющих
 стационарное социальное обслуживание, в рамкахнационального проекта
 «Демография». В рамках данной работы концептуальные решения и современные
 требования будут подготовлены и направлены для использования в органы
 исполнительной власти субъектов Российской Федерации.</t>
  </si>
  <si>
    <t>Минтрудом России совместно с заинтересованными
 федеральными органами исполнительной власти, органами исполнительной власти
 субъектов Российской Федерации и общественными организациями будут подготовлены
 предложения по актуализации санитарно-эпидемиологических
 требований к размещению, устройству, оборудованию, содержанию,
 санитарно-гигиеническому и противоэпидемическому режиму работы организаций
 социального обслуживания и представлены в Роспотребнадзор.
 Роспотребнадзором до 1 октября 2019 года будут внесены изменения в санитарные
 правила СП 2.1.2.3358-16 «Санитарно-эпидемиологические требования к размещению,
 устройству, оборудованию, содержанию, санитарно-гигиеническому и
 противоэпидемическому режиму работы организаций социального обслуживания».</t>
  </si>
  <si>
    <t>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86,276 тыс. кв. м, для размещения 2520 граждан.
 В 2024 году - 100%, введено в эксплуатацию 29 объектов, общей площадью 60,192 тыс. кв. м, для размещения 3971 граждан.</t>
  </si>
  <si>
    <t>В  субъекте Российской Федерации будут реализоваться государственные программы  субъекта Российской Федерации, содержащие мероприятия по поддержке  (стимулированию) негосударственных организаций социального обслуживания, в том  числе, путем включения таких организаций в реестр поставщиков социальных услуг,  предоставления им налоговых льгот и преференций, субсидирования процентной  ставки по кредитам, полученным в российских кредитных организациях
  Минтрудом  России будет осуществлен мониторинг реализации государственных программ  субъектов Российской Федерации, указанная информация будет включена в годовой
 отчет о ходе  реализации и оценке эффективности  государственной программы Российской Федерации «Социальная поддержка граждан».Кроме того, будут  подготовлены изменения в Налоговый кодекс Российской Федерации в части продления
 до 2025 года права применения налоговой ставки 0 процентов по налогу на прибыль
 для организаций, осуществляющих социальное обслуживание граждан</t>
  </si>
  <si>
    <t>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объект, общей площадью 679,3 кв. м., для размещения 53 граждан.В 2020 году - 34,10%, введено в эксплуатацию 15 объектов, общей площадью 45,646 тыс. кв. м, для размещения более 1325 граждан.В 2021 году - 27,11%, введено в эксплуатацию 11 объектов, общей площадью 78,387 тыс. кв. м., для размещения 1435 граждан.В 2022 году - 43,12%, введено в эксплуатацию 13 объектов, общей площадью 91,130 тыс. кв. м, для размещения 1678 граждан.В 2023 году - 59,83%, введено в эксплуатацию 22 объекта, общей площадью 86,276 тыс. кв. м, для размещения 2520 граждан.В 2024 году - 100%, введено в эксплуатацию 29 объектов, общей площадью 60,192 тыс. кв. м, для размещения 3971 граждан.</t>
  </si>
  <si>
    <t>Утверждены Правила предоставления средств федерального бюджета на реализацию мероприятий по организации профессионального обучения и дополнительного профессионального образования лиц предпенсионного возраста</t>
  </si>
  <si>
    <t>Минтрудом России будут определены
 методологические подходы к реализации в субъектах Российской Федерации
 мероприятий по организации профессионального
 обучения и дополнительного профессионального
 образования лиц предпенсионного возраста.
 Будет
 осуществлена разработка и доведение до органов исполнительной власти субъектов
 Российской Федерации методических рекомендаций по реализации мероприятий по профессиональному обучению и
 дополнительному профессиональному образованию граждан предпенсионного возраста,
 состоящих в трудовых отношениях, или ищущих работу.
 Будут определены
 методологические подходы и создана нормативно правовая база для реализации в
 субъектах Российской Федерации мероприятий по организации профессионального обучения и дополнительного
 профессионального образования лиц
 предпенсионного возраста.
 Правительством Российской Федерации будут утверждены
 Правила предоставления субсидии
 из федерального бюджета Союзу «Агентство развития профессиональных сообществ и
 рабочих кадров «Молодые профессионалы (Ворлдскиллс Россия)» на реализацию мероприятий по обучению граждан предпенсионного возраста и
 независимой оценке их квалификаций, а также будут утверждены Правила предоставления и распределения
 иных межбюджетных трансфертов из федерального бюджета бюджетам субъектов
 Российской Федерации на реализацию
 мероприятий по организации профессионального обучения и дополнительного
 профессионального образования лиц
 предпенсионного возраста.</t>
  </si>
  <si>
    <t>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 50-ти лет и старше, а также лиц предпенсионного возраста.</t>
  </si>
  <si>
    <t>Сформированы мероприятия по ежегодной приоритизации объектов в субъектах Российской Федерации Дальневосточного федерального округа</t>
  </si>
  <si>
    <t>Для обеспечения приоритетного характера финансового обеспечения задач социально-экономического развития Дальневосточного федерального округа общий размер субсидий, предоставляемых бюджетам субъектов Российской Федерации, входящим в состав Дальневосточного федерального округа в очередном финансовом году, определенный на основании представленных ими заявок, составит не менее 5,5 процентов от общего размера субсидий, предоставляемых бюджетам субъектов Российской Федерации в очередном финансовом году (положение закреплено в постановлении Правительства Российской Федерации, утверждающем правилапредоставления субсидий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</si>
  <si>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В субъектах Российской Федерации определены участники мероприятий по профессиональному обучению и дополнительному профессиональному образованию: в 2019 году - для лиц предпенсионного возраста, в 2020-2024 годах - для лиц в возрасте 50-ти лет и старше, а также лиц предпенсионного возраста</t>
  </si>
  <si>
    <t>В 2019 году в субъектах Российской Федерации будет организовано
 взаимодействие органов службы занятости с территориальных отделений ПФР,
 работодателями и образовательными организациями в целях формирования
 контингента участников мероприятий по профессиональному обучению и
 дополнительному профессиональному образованию лиц предпенсионного возраста, в 2020-2024 годах - для лиц в возрасте 50-и лет и старше, а также лиц предпенсионного возраста.В субъектах Российской Федерации будут сформированы списки граждан,желающих пройти профессиональное обучение или получить дополнительное профессональное образование (в 2019 году - лиц предпенсионного возраста, в 2020-2024 годах - лиц в возрасте 50-ти лет и старше, а также лиц предпенсионного возраста),перечни работодателей, готовых принять
 участие в мероприятии, перечни образовательных организаций, на базе которых
 планируется организовать обучение.</t>
  </si>
  <si>
    <t>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t>
  </si>
  <si>
    <t>На
 основании соглашений между Рострудом и высшими исполнительными органами
 государственной власти субъектов Российской Федерации будут
 реализованы мероприятия по профессиональному обучению и дополнительному
 профессиональному образованию в 2019 году - лиц предпенсионного возраста, в 2020-2024 годах - лиц в возрасте 50-ти лет и старше, а также лиц предпенсионного возраста.В 2019 году будут реализованы дополнительные сервисы на портале «Работа в России», в том числе для работодателей и граждан старшего возраста, направленных на повышение эффективности услуг в сфере занятости, а также иного функционала, направленного на повышение качества и доступности услуг по трудоустройству данной категории граждан.В 2019 году Минтрудом России будет сформирована отчетность по показателю "численность граждан предпенсионного возраста, прошедших профессиональное обучение и дополнительное профессиональное образование" (в целом по Российской Федерации и в разрезе субъектов Российской Федерации), в 2020-2024 году - лиц в возрасте 50-и лет и старше, а также лиц предпенсионного возраста.</t>
  </si>
  <si>
    <t>В 2019 году Правительством Российской Федерации будут утверждены Правила предоставления субсидии из федерального бюджета Союзу «Агентство развития профессиональных сообществ и рабочих кадров «Молодые профессионалы (Ворлдскиллс Россия)» на реализацию мероприятий по обучению лиц предпенсионного возраста, также будут внесены изменения повключению с 2020 года в число участников мероприятий лиц в возрасте от 50-ти лет и старше.Будет предоставлена субсидия из федерального бюджета Союзу «Молодые профессионалы (Ворлдскиллс Россия)» на реализацию мероприятий по профессиональному обучению и дополнительному профессиональному образованию лиц предпенсионного возраста, с 2020 года - также лиц в возрасте 50-ти лет и старше.Ежегодно будет проведен чемпионат профессионального мастерства по стандартам WorldSkills для людей старше 50-ти лет "НАВЫКИ МУДРЫХ"Будет осуществлен мониторинг реализации мероприятий по профессиональному обучению и дополнительному профессиональному образованию лиц предпенсионного возраста (с 2020 года также лиц в возрасте 50-ти лет и старше) в целях оценки достижения показателей результативности.</t>
  </si>
  <si>
    <t>Формирование системы мотивации граждан к здоровому образу жизни, включая здоровое питание и отказ от вредных привычек</t>
  </si>
  <si>
    <t>Будут
 приняты нормативные правовые акты, основанные на рекомендациях Всемирной
 организации здравоохранения и направленные на:
 - охрану
 здоровья граждан от табачного дыма и последствий потребления табака, а также
 электронных сигарет
 -
 снижение потребления алкоголя;
 -
 йодирование пищевой поваренной соли в целях профилактики заболеваний, связанных
 с дефицитом йода;
 -
 сокращение потребления сахара и соли, ликвидацию микронутриентной
 недостаточности.
 Будет
 разработана Концепция осуществления государственной политики противодействия
 потреблению табака в Российской Федерации.
 Будет
 разработана и утверждена приказом Минздрава России новая модель организации и
 функционирования центров общественного здоровья, в том числе будут разработаны
 и утверждены (одобрены) Минздравом России в установленном порядке:
 -порядок
 организации и функционирования центров общественного здоровья, а также
 рекомендуемые нормативы по их размещению;
 -требования
 к штатной численности и оснащению центров общественного здоровья;
 -усовершенствованные формы учетно-отчетной
 документации, включая усовершенствованный паспорт здоровья и порядок его
 выдачи;
 -усовершенствованные требования к сбору
 статистической информации о деятельности центров общественного здоровья,
 включая соответствующие формы документов и порядок их предоставления.Будет
 разработан комплекс мер с целью обеспечения подготовки специалистов по
 специальности «общественное здоровье», основанной на лучших международных
 подходах и включающей изучение широкого круга вопросов профилактики
 заболеваний, укрепления здоровья населения. В медицинских вузах будут созданы
 кафедры и факультеты общественного здоровья с использованием имеющихся
 ресурсов.В штатное
 расписание органов государственной власти субъектов РФ, а также органов
 местного управления будут включены штатные единицы специалистов по
 общественному здоровью.Будет
 разработана и утверждена совместным приказом Минздрава России и Росстата
 методика оценки среднедушевого потребления алкоголя, включая
 незарегистрированное потребление спиртосодержащей продукции.</t>
  </si>
  <si>
    <t>Во всех (85)субъектах Российской Федерации органами
 исполнительной власти субъектов Российской Федерации и органами местного
 самоуправления с организационно-методическим сопровождением НМИЦ
 профилактической медицины Минздрава России будет осуществлено внедрение новой
 модели организации и функционирования центров общественного здоровья, включая
 создание на базе центров здоровья и центров медицинской
 профилактики первичных (межмуниципальные) и региональных центров
 общественного здоровья, внедрение новой учетно-отчетной
 документации.</t>
  </si>
  <si>
    <t>Роспотребнадзором
 будут разработаны изменения в законодательство Российской Федерации, которыми
 будут закреплены понятия здорового, спортивного и иных видов питания,
 установлены требования к данному виду питания, которые в 2020 году будут
 приняты и опубликованы.
  Правительством
 Российской Федерации будут утверждены нормативные правовые акты, касающиеся
 внедрения системы мониторинга продуктов питания, установления требований к
 спортивному питанию.
  Роспотребнадзором
 будут внесены изменения в действующие нормативные правовые акты по вопросам
 здорового питания, разработаны методические документы по данным вопросам. 
  Будут
 принятые нормативные правовые акты, закрепляющие основанные на научных данных и
 рекомендациях ведущих международных организаций понятия здорового, спортивного
 и иных видов питания, и иные обязательные требования, что на законодательной
 основе обеспечит внедрение принципов здорового питания в целях улучшения
 состояния здоровья населения, связанного с питанием, в том числе снижения
 распространения алиментарно зависимых заболеваний среди населения, и
 доступности для населения пищевой продукции, отвечающей критериям качества и
 принципам здорового питания.</t>
  </si>
  <si>
    <t>Роспотребнадзором будут утверждены санитарные
 правила и нормы, касающиеся оптимизации питания населения, содержащие
 регламентацию дополнительных санитарно-эпидемиологических требований к
 организации питания на объектах социальной инфраструктуры, в частности, для
 детей и подростков, с учетом принципов здорового питания, в целях укрепления здоровья обучающихся и
 воспитанников, профилактики инфекционных и неинфекционных заболеваний, а также
 совершенствования государственного регулирования в области качества пищевой
 продукции и производства пищевой продукции, отвечающей принципам здорового
 питания, в том числе обогащенной витаминами и микроэлементами</t>
  </si>
  <si>
    <t>Разработана и внедрена система мониторинга за
 состоянием питания различных групп населения в регионах, основанная на
 результатах научных исследований в области нутрициологии, диетологии и
 эпидемиологии, во взаимосвязи здоровья населения со структурой питания и
 качеством пищевой продукции к 15.12.2020 года.</t>
  </si>
  <si>
    <t>Роспотребнадзором будет разработана и утверждена
 форма статистической отчетности, которая, на основании выборочного наблюдения
 состояния здоровья населения, позволит получить достоверные данные о структуре
 здорового питания в отдельных группах населения в различных регионах.</t>
  </si>
  <si>
    <t>В целях
 оценки эффективности указанных выше результатов в 2024 году будет проведен
 повторный анализ наличия возможности у населения приобретать пищевую продукцию
 отвечающую принципам здорового питания, что позволит дать заключение по
 обеспеченности населения доступом к таким продуктам и сформировать необходимые
 мероприятия по коррекции питания.Подведомственными
 Роспотребнадзору центрами гигиены и эпидемиологии будет проведен лабораторный
 контроль за показателями качества пищевой продукции.</t>
  </si>
  <si>
    <t>В 2019
 году приказом Роспотребнадзора будут организованы на базе 6 учреждений
 Роспотребнадзора современные испытательные лабораторные центры, в 2020 году приказом Роспотребнадзора будут организованы на базе11 учреждений Роспотребнадзора современные испытательные лабораторные центры (всего 17 лабораторных центров).
 Указанные
 центры Роспотребнадзора будут оснащены оборудованием для определения
 показателей качества пищевой продукции, идентификации биологически активных
 веществ, пищевых добавок в соответствии с международными методиками и методами,
 включая Комиссию ФАО/ВОЗ по пищевым стандартам «Кодекс Алиментариус».
 Созданная
 и укомплектованная необходимым оборудованием для определения показателей
 качества пищевой продукции, идентификации биологически активных веществ и
 пищевых добавок лабораторная база обеспечит возможность создания и внедрения
 региональных и межрегиональных программ по проведению необходимых исследований.</t>
  </si>
  <si>
    <t>Приказом
 Роспотребнадзора в 2019 году будет создано 5 научно-методических и
 образовательных центров по вопросам здорового питания в регионах на базе
 учреждений Роспотребнадзора и ФГБУН «ФИЦ питания и биотехнологии».
 Также
 приказом Роспотребнадзора будут установлены требования к указанным центрам, их
 функции.
 Научно-методическая
 и образовательная деятельность указанных центров будет включать работу с
 населением для формирования приверженности граждан принципам здорового питания,
 мотивации к потреблению полноценного питания, снижающего дефицит
 микронутриентов</t>
  </si>
  <si>
    <t>Указанными центрами в течение 2020-2024 годов с
 учетом системы мониторинга за состоянием питания различных групп населения в
 регионах будут разработаны рекомендации и образовательные программы по вопросам
 здорового питания, подготовленные с учетом региональных особенностей и
 направленные на различные группы организованного населения (контингент
 социальных организаций, детские коллективы, профессиональные группы и др.)</t>
  </si>
  <si>
    <t>Центрами гигиены и
 эпидемиологии Роспотребнадзора в субъектах Российской
 Федерации будут проведены лекции, учебно-методические занятия, консультирование
 по вопросам здорового питания для различных групп населения, направленные на
 формирование приверженности граждан принципам здорового питания, мотивации к
 потреблению полноценного питания, снижающего дефицит микронутриентов, которыми планируется охватить 5 млн человек в 23 субъектах Российской Федерации в 2020 году,10 млн человек (нарастающим итогом)в45 субъектах Российской Федерации в 2021 году,15 млн человек (нарастающим итогом)в60 субъектах Российской Федерации в 2022 году,20 млн человек (нарастающим итогом)в70 субъектах Российской Федерации в 2023 году,30 млн человек (нарастающим итогом)в80 субъектах Российской Федерации в 2024 году.</t>
  </si>
  <si>
    <t>На
 основании сведений системы мониторинга за состоянием питания различных групп
 населения в регионах, результатов лабораторного контроля продуктов питания
 Роспотребнадзором в 2024 году будет подготовлен и опубликован доклад о
 состоянии здорового питания в Российской Федерации.
 Опубликованный
 доклад будет содержать сведения о проведенном анализе структуры питания
 различных групп населения в разрезе регионов и рекомендации с учетом принципов
 здорового питания.</t>
  </si>
  <si>
    <t>​В 2019
 году будет разработан Минздравом России и принят Правительством Российской
 Федерации нормативный правовой акт, регламентирующий предоставление субсидий
 региональным органам исполнительной власти в сфере охраны здоровья на
 реализацию мероприятий с привлечением социально ориентированных некоммерческих
 организаций и волонтерских движений по формированию приверженности здоровому
 образу жизни, включая снижение вредного потребления алкоголя, борьбу с курением
 и профилактику репродуктивного здоровья. 
 Согласно
 указанным правилам Минздравом России с 2020 года будут заключены соглашения с
 органами исполнительной власти субъектов Российской Федерации и предоставлены
 соответствующие субсидии, которые будут на конкурсной основе распределены
 некоммерческим организациям и волонтерским движениям.
 Минздравом
 России с привлечением ФГБУ «НМИЦ профилактической медицины» Минздрава России
 будет проводиться ежегодный мониторинг результатов реализации региональных
 проектов, по итогам которого будут разработаны и размещены на сайте Минздрава
 России с организационно-методическим сопровождением НМИЦ профилактической
 медицины Минздрава России рекомендации по наилучшим практикам реализации
 волонтерства в сфере охраны здоровья.</t>
  </si>
  <si>
    <t>НМИЦ
 профилактической медицины Минздрава России будут проведены конкурсные процедуры
 и заключены государственные контракты на проведение
 информационно-коммуникационной кампании с использованием основных
 телекоммуникационных каналов для всех целевых аудиторий. 
 Будет
 представлен отчет о проведении информационно-коммуникационной кампании.
 Основными
 направлениями информационно-коммуникационной кампании будут являться:
 пропаганда сокращения потребления алкоголя; пропаганда сокращения потребления
 табака, а также иных форм потребления никотина; пропаганда ответственного
 отношения к рациону питания; пропаганда ответственного отношения к
 репродуктивному здоровью и повышение приверженности вакцинации.НМИЦ профилактической медицины Минздрава России в 2019 году будет проведен ежегодный Всероссийский форум по общественному здоровью, участие в котором приняли не менее 500 представителей из медицинских, образовательных и научных организаций, органов государственной власти, включая органы государственной власти субъектов Российской Федерации, органов местного самоуправления, общественных объединений и некоммерческих организаций.</t>
  </si>
  <si>
    <t>Обеспечено не менее 150тысяч просмотров
 телевизионных и радиопрограмм, телевизионных документальных фильмов,
 Интернет-сайтов, направленных на пропаганду здорового образа жизни, физической
 культуры, спорта и здорового питания</t>
  </si>
  <si>
    <t>​Будет разработано дополнительно не менее 15 рекламно-информационных материалов для проведения информационно-коммуникационной кампании с использованием основных телекоммуникационных каналов для всех целевых аудиторий</t>
  </si>
  <si>
    <t>Роспотребнадзором
 будет создан информационный ресурс, который позволит организовать деятельность
 по защите потребителей от недостоверной информации о продукции, в том числе не
 соответствующей принципам здорового питания, посредством наполнения ресурса
 данными, содержащими в том числе результаты оценки качества пищевой продукции,
 проводимой Роспотребнадзором
 Создание
 мобильной версии модуля ГИС ЗПП «Здоровое питание» позволит расширить круг
 потребителей, имеющих доступ к информации о продукции, в том числе не
 соответствующей принципам здорового питания, посредствам наполнения ресурса
 данными, содержащими в том числе результаты оценки качества пищевой продукции,
 проводимой Роспотребнадзором</t>
  </si>
  <si>
    <t>Роспотребнадзором
 будет разработана Концепция реализации информационно-коммуникационной кампании,
 на основании которой будут определены основные телекоммуникационные каналы для
 всех целевых аудиторий по обеспечению демонстраций
 (передач) данных созданных рекламно-информационных материалов по вопросам
 здорового питания для достижения цели формирования приверженности граждан
 принципам здорового питания
 Проведенные
 анализ и оценка реализации информационно-коммуникационной кампании позволят
 корректировать подготовленные рекламные материалы и каналы привлечения
 населения к информации</t>
  </si>
  <si>
    <t>Роспотребнадзором будет обеспечено распространение
 созданной печатной продукции тиражом не менее 50 тысяч экземпляров по вопросам
 здорового питания в субъектах Российской Федерации, что 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</si>
  <si>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Роспотребнадзор обеспечит демонстрацию (передачи),
 созданных рекламно-информационных материалов по вопросам здорового питания по
 телевидению, радио и в информационно-телекоммуникационной сети «Интернет», что
 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</si>
  <si>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Роспотребнадзор обеспечит распространение созданной
 печатной продукции по вопросам здорового
 питания в 80 субъектах Российской Федерации, чтобудет способствовать развитию
 формирования приверженности граждан принципам здорового питания и мотивации к
 потреблению полноценного питания, снижающего дефицит микронутриентов.</t>
  </si>
  <si>
    <t>Будет проведена оценка результатов (эффективности)
 информационно-коммуникационной кампании по вопросам здорового питания с
 использованием основных коммуникационных каналов для всех целевых аудиторий</t>
  </si>
  <si>
    <t>По итогам
 пилотного проекта будет проработан вопрос о необходимости внесения изменений в
 законодательство Российской Федерации, включая Трудовой кодекс Российской
 Федерации, предусматривающие необходимость дляработодателей внедрять корпоративные
 программы по укреплению здоровья работников. 
 В
 субъектах Российской Федерации с организационно-методическим сопровождением
 НМИЦ профилактической медицины Минздрава России с привлечением Фонда
 социального страхования Российской Федерации будет проведена
 информационно-разъяснительная работа с работодателями в целях внедрения корпоративных
 программ по укреплению здоровья работников.
 Работодателями
 будут проведены мероприятия, указанные в корпоративных программах, включая
 привлечение медицинских работников центров общественного здоровья и центров
 здоровья для обследования работников и проведения школ и лекционных занятий по
 формированию здорового образа жизни, отказа от курения и употребления
 алкогольных напитков, перехода на здоровое питание. 
 Примеры
 наилучших результатов по проведению корпоративных программ будут опубликованы
 на сайте Минздрава России, интернет-сайтах органов исполнительной власти
 пилотных регионов и в средствах массовой информации в рамках
 информационно-коммуникационной кампании.</t>
  </si>
  <si>
    <t>Обеспечено с 2021 по 2024 год функционирование и
 пополнение новыми приобретенными данными информационного ресурса, направленного
 на защиту потребителей от недостоверной информации о продукции</t>
  </si>
  <si>
    <t>При методическом участии ФГБОУ ВО ТГМУ Минздрава России будут разработаны муниципальные и корпоративныепрограммы по повышению приверженности граждан принципам здорового образа жизни, включая снижение потребления алкоголя и табака, ликвидацию микронутриентной недостаточности, для субъектов Российской Федерации, входящих в Дальневосточный федеральный округ.</t>
  </si>
  <si>
    <t>Будут внедрены дополнительные муниципальные и корпоративные программы по повышению числа граждан, приверженных здоровому образу жизни во всех субъектахДальневосточного федерального округа.</t>
  </si>
  <si>
    <t>​Будет проведена оценка необходимости принятия
 дополнительных мер, направленных на формирование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алкоголя.Будут разработаны, обсуждены с заинтересованными федеральными
 органами исполнительной власти и внесены в Правительство Российской Федерации
 дополнительные меры, направленные на формирование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t>
  </si>
  <si>
    <t>Будут подведены итоги
 информационно-коммуникационной кампании с организационно-методическим
 сопровождением НМИЦ профилактической медицины Минздрава России с использованием
 основных телекоммуникационных каналов для всех целевых аудиторий. Будет
 представлен итоговый отчет о подведенных итогах реализации
 информационно-коммуникационной кампании</t>
  </si>
  <si>
    <t>Минздравом
 России с организационно-методическим сопровождением НМИЦ профилактической
 медицины Минздрава России в 2019 году будут разработаны и утверждены модельные
 корпоративные программы, содержащие наилучшие практики по укреплению здоровья
 работников, включая внедрение экономических механизмов воздействия на
 работодателя и проведение мероприятий, направленных на создание условий для
 ведения и продвижения здорового образа жизни, снижение действия основных
 факторов риска НИЗ (профилактику курения и помощь в отказе от табака; расширение
 физической активности; снижение уровня стресса; продвижение принципов здорового
 питания); проведение скрининга и раннего выявления заболеваний; вовлечение
 работников в программы по укреплению здоровья на рабочем месте, а также в
 программы, реализуемые региональным и/или муниципальным центром общественного
 здоровья.
 Указанные
 программы будут размещены на сайте Минздрава России и Фонда социального страхования.
 С участием Фонда социального страхования модельные программы будут доведены до
 работодателей.</t>
  </si>
  <si>
    <t>Центрами
 общественного здоровья с организационно-методическим сопровождением НМИЦ
 профилактической медицины Минздрава России будет проведена оценка результатов и
 необходимости внедрения дополнительных решений в модельные корпоративные
 программы, содержащие наилучшие практики по укреплению здоровья работников. 
 Будут
 разработаны и внедрены (при необходимости) дополнительные решения по модельным
 корпоративным программам, содержащим наилучшие практики по укреплению здоровья
 работников.
 Модельные
 программы будут адаптированы, исходя из штатной численности предприятия,
 направления трудовой деятельности, наличия/отсутствия штатной медицинской
 службы, региональных особенностей.</t>
  </si>
  <si>
    <t>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и подготовка спортивного резерва</t>
  </si>
  <si>
    <t>​Подведомственной Минспорту России организации
 предоставлена субсидия из федерального бюджета на выполнение государственного
 задания по реализации Единого календарного плана межрегиональных, всероссийских
 и международных физкультурных мероприятий и спортивных мероприятий (ЕКП)</t>
  </si>
  <si>
    <t>Подведомственной Минспорту России организации
 предоставлена субсидия из федерального бюджета на выполнение государственного
 задания по разработке концепции и плана реализации
 информационно-коммуникационной кампании, а также по организации в средствах массовой
 информации и субъектах Российской Федерации пропагандистских мероприятий
 (акций)</t>
  </si>
  <si>
    <t>Субъектам Российской Федерации предоставлены субсидии из федерального бюджета на закупку спортивного оборудования и инвентаря для приведения организаций спортивной подготовки в нормативное состояние</t>
  </si>
  <si>
    <t>​Субъектам Российской Федерации предоставлены субсидии из федерального бюджета на оказание государственной адреснойподдержки организаций спортивной подготовки, обеспечивающих развитие базовых видов спорта в соответствии с требованиями федеральных стандартов спортивной подготовки</t>
  </si>
  <si>
    <t>​В субъектах Российской Федерации организовано обучение
 инструкторов по спорту с присвоением квалификации специалиста центра
 тестирования Всероссийского физкультурно-спортивного комплекса "Готов к
 труду и обороне" (ГТО) и профессиональная подготовка тренеров организаций
 спортивной подготовки, в том числе по футболу и хоккею</t>
  </si>
  <si>
    <t>Подведомственной Минспорту России организации
 предоставлена субсидия из федерального бюджета на выполнение государственного
 задания по реализации Единого календарного плана межрегиональных, всероссийских
 и международных физкультурных мероприятий и спортивных мероприятий (ЕКП), в том
 числе на проведение первенств и спартакиады России по всем олимпийским, неолимпийским
 и адаптивным видам спорта</t>
  </si>
  <si>
    <t>Субъектам Российской Федерации предоставлены субсидии
 из федерального бюджета на закупку спортивного оборудования для создания малых
 спортивных форм на базе центров тестирования Всероссийского
 физкультурно-спортивного комплекса "Готов к труду и обороне" (ГТО) и
 обустройства искусственных футбольных полей</t>
  </si>
  <si>
    <t>Подведомственной Минспорту России организации
 предоставлена субсидия из федерального бюджета на выполнение
 государственного задания по разработке научно-обоснованных подходов к пространственному
 развитию физической культуры и спорта</t>
  </si>
  <si>
    <t>Подведомственной Минспорту России организации
 предоставлена субсидия из федерального бюджета на выполнение
 государственного задания по определению поведенческих факторов, влияющих на
 мотивацию граждан к систематическим занятиям физической культурой и спортом, а
 также препятствующих этому факторов</t>
  </si>
  <si>
    <t>Федеральному оператору комплекса Всероссийского
 физкультурно-спортивного комплекса "Готов к труду и обороне" (ГТО)
 предоставлена субсидия из федерального бюджета на реализацию мероприятий по развитию
 комплекса</t>
  </si>
  <si>
    <t>Некоммерческим организациям предоставлены гранты
 (субсидии) из федерального бюджета на основе конкурсного отбора,
 организованного Минспортом России</t>
  </si>
  <si>
    <t>Подведомственной Минспорту России организации
 предоставлена субсидия из федерального бюджета на выполнение
 государственного задания по разработке научно-обоснованных подходов по
 совершенствованию действующих и подготовке новых методик организации
 спортивно-массовой работы с различными группами и категориями населения</t>
  </si>
  <si>
    <t>Организатору Специальной олимпиады России
 предоставлена субсидия из федерального бюджета</t>
  </si>
  <si>
    <t>Организатору физкультурных мероприятийв системе
 правоохранительных органов и органов безопасности предоставлена субсидия из
 федерального бюджета</t>
  </si>
  <si>
    <t>Субъектам Российской Федерации предоставлены субсидии
 из федерального бюджета на создание спортивных площадок</t>
  </si>
  <si>
    <t>Субъектам Российской Федерации предоставлены субсидии
 из федерального бюджета на создание спортивных сооружений для массового спорта</t>
  </si>
  <si>
    <t>Построены и введены в эксплуатацию объекты спорта региональной собственности</t>
  </si>
  <si>
    <t>Субъектам Российской Федерации предоставлены субсидии
 из федерального бюджета на создание физкультурно-оздоровительных комплексов,
 крытых катков, региональных центров по хоккею и футбольных манежей</t>
  </si>
  <si>
    <t>Ставропольскому краю предоставлена субсидия из
 федерального бюджета на создание физкультурно-оздоровительного комплекса и
 спортивных площадок</t>
  </si>
  <si>
    <t>Осуществлены бюджетные инвестиции в форме капитальных
 вложений в объект государственной собственности</t>
  </si>
  <si>
    <t>Республике Дагестан предоставлена субсидия из
 федерального бюджета</t>
  </si>
  <si>
    <t>Субъекту Российской Федерации предоставлен иной
 межбюджетный трансферт на закупку спортивного оборудования, реконструкцию и
 (или) капитальный ремонт объекта спорта</t>
  </si>
  <si>
    <t>Субъектам Российской Федерации предоставлены субсидии
 из федерального бюджета на закупку спортивного оборудования и инвентаря​</t>
  </si>
  <si>
    <t>Субъектам Российской Федерации предоставлены субсидии
 из федерального бюджета на модернизацию инфраструктуры футбола</t>
  </si>
  <si>
    <t>Субъектам Российской Федерации предоставлены субсидии
 из федерального бюджета на софинансирование расходных обязательств по
 реализации проектов государственно-частного и муниципально-частного партнерства</t>
  </si>
  <si>
    <t>Поставлены комплекты спортивного оборудования для спортивных площадок в Республику Крым и город федерального значения Севастополь 
 в рамках федеральной целевой программы "Развитие физической культуры и спорта в Российской Федерации на 2016-2020 годы"</t>
  </si>
  <si>
    <t>Субъектам Российской Федерации предоставлены субсидии
 из федерального бюджета</t>
  </si>
  <si>
    <t>В соответствии с абзацем 5 подпункта "д" пункта 1 перечня поручений Президента Российской Федерации от 30 апреля 2019 г. № Пр-759 Минспортом России и Минпросвещения России разработана и утверждена совместным приказом межотраслевая программа, устанавливающая единство целей, задач и ключевых показателей развития школьного спорта до 2024 г., в том числе путем развития сети школьных спортивных клубов, гармонизации программ спортивной подготовки и дополнительных общеобразовательных программ в сфере физической культуры и спорта, предусматривающих освоение этапов спортивной подготовки, и совершенствования системы физкультурных и спортивных мероприятий для школьников</t>
  </si>
  <si>
    <t>Разработана и утверждена межотраслевая программа развития студенческого спорта</t>
  </si>
  <si>
    <t>В соответствии с абзацем 5 подпункта "д" пункта 1 перечня поручений Президента Российской Федерации от 30 апреля 2019 г. № Пр-759 Минспортом России и Минобрнауки России разработана и утверждена совместным приказом межотраслевая программа, устанавливающая единство целей, задач и ключевых показателей развития студенческого спорта до 2024 г., в том числепутем развития сети студенческих спортивных клубов, лиг, реализации в организациях высшего образования программ спортивной подготовки и создания центров спортивной подготовки на базе объектов наследия XXIX Всемирной зимней универсиады 2019 года в г. Красноярске и других крупных спортивных мероприятий</t>
  </si>
  <si>
    <t>В соответствии с абзацем 6 подпункта "д" пункта 1 перечня Поручений Президента Российской Федерации от 30 апреля 2019 г. № Пр-759разработана и утверждена межведомственная программа "Плавание для всех", рассчитанная на различные возрастные и социальные группы населения и предусматривающая, в том числе строительство бассейнов, а также обучение детей плаванию в рамках основных общеобразовательных программ, включая внеурочную деятельность</t>
  </si>
  <si>
    <t>В соответствии с абзацем3 подпункта "д" пункта 1 перечня поручений Президента Российской Федерации от 30 апреля 2019 г. № Пр-759 Минспортом России, Минтрудом России, Минздравом Россиисовместно с Союзом пенсионеров России разработан и утвержден совместным приказом комплекс мер пововлечению граждан старшего возраста в систематические занятия физической культурой и спортом на основе моделей и методик, разработанных и апробированных среди населения в рамках деятельности экспериментальных площадок федерального проекта</t>
  </si>
  <si>
    <t>Возмещение части затрат на уплату процентов по кредитам и займам, полученным юридическими лицами в российских кредитных организациях на реализацию инвестиционных проектов в сфере физической культуры и спорта</t>
  </si>
  <si>
    <t>Е</t>
  </si>
  <si>
    <t>Государственная программа Российской Федерации "Развитие здравоохранения"</t>
  </si>
  <si>
    <t>Подпрограмма "Развитие и внедрение инновационных методов диагностики, профилактики и лечения, а также основ персонализированной медицины"</t>
  </si>
  <si>
    <t>Ведомственная целевая программа "Развитие фундаментальной, трансляционной и персонализированной медицины"</t>
  </si>
  <si>
    <t xml:space="preserve">разработка инновационных методов и средств профилактики, диагностики и лечения с предоставлением охраны интеллектуальных прав на основании патентов на изобретение, полезную модель или промышленный образец:
в 2019 году - не менее 300 патентов;
в 2020 году - не менее 310 патентов;
в 2021 году - не менее 320 патентов;
в 2022 году - не менее 330 патентов;
в 2023 году - не менее 340 патентов;
в 2024 году - не менее 350 патентов;
формирование и ведение Национального радиационно-эпидемиологического регистра и внесение новых форм в регистровые записи (нарастающим итогом):
в 2019 году - 11134 тыс. форм;
в 2020 году - 11401 тыс. форм;
в 2021 году - 11669 тыс. форм;
в 2022 году - 11936 тыс. форм;
в 2023 году - 12204 тыс. форм;
в 2024 году - 12471 тыс. форм;
реализация в отношении объектов здравоохранения проектов с применением механизма государственно-частного партнерства и заключением концессионных соглашений и соглашений о государственно-частном партнерстве (нарастающим итогом):
в 2019 году - 5 соглашений;
в 2020 году - 6 соглашений;
в 2021 году - 7 соглашений;
в 2022 году - 8 соглашений;
в 2023 году - 9 соглашений;
в 2024 году - 10 соглашений.
</t>
  </si>
  <si>
    <t>31.12.2024</t>
  </si>
  <si>
    <t>Подпрограмма "Развитие медицинской реабилитации и санаторно-курортного лечения, в том числе детей"</t>
  </si>
  <si>
    <t>Ведомственная целевая программа "Санаторно-курортное лечение"</t>
  </si>
  <si>
    <t xml:space="preserve">организация оказания санаторно-курортного лечения в рамках государственного задания в учреждениях, подведомственных федеральным органам исполнительной власти:
2019 год - не менее 95 процентов;
2020 год - не менее 95 процентов;
2021 год - не менее 95 процентов;
2022 год - не менее 95 процентов;
2023 год - не менее 95 процентов;
2024 год - не менее 95 процентов.
</t>
  </si>
  <si>
    <t>Ведомственная целевая программа "Медицинская реабилитация"</t>
  </si>
  <si>
    <t xml:space="preserve">увеличение доступности и качества медицинской помощи населению в субъектах Российской Федерации по профилю "медицинская реабилитация" - число развернутых реабилитационных коек на 10000 населения,
в том числе:
взрослых:
в 2019 году - 1,47;
в 2020 году - 1,5;
в 2021 году - 1,53;
в 2022 году - 1,56;
в 2023 году - 1,59;
в 2024 году - 1,62;
детей:
в 2019 году - 1,53;
в 2020 году - 1,57;
в 2021 году - 1,61;
в 2022 году - 1,65;
в 2023 году - 1,68;
в 2024 году - 1,71;
увеличение доли субъектов Российской Федерации, сформировавших 3-уровневую систему по медицинской реабилитации, в общем количестве субъектов:
в 2019 году - 15 процентов;
в 2020 году - 18 процентов;
в 2021 годы - 25 процентов;
в 2022 году - 30 процентов;
в 2023 году - 35 процентов;
в 2024 году - 40 процентов.
Срок реализации - 2019 - 2024 годы
// увеличение доступности и качества медицинской помощи населению в субъектах Российской Федерации по профилю "медицинская реабилитация" - число развернутых реабилитационных коек на 10000 населения,
в том числе:
взрослых:
в 2019 году - 1,47;
в 2020 году - 1,5;
в 2021 году - 1,53;
в 2022 году - 1,56;
в 2023 году - 1,59;
в 2024 году - 1,62;
детей:
в 2019 году - 1,53;
в 2020 году - 1,57;
в 2021 году - 1,61;
в 2022 году - 1,65;
в 2023 году - 1,68;
в 2024 году - 1,7. увеличение доли субъектов Российской Федерации, сформировавших 3-уровневую систему по медицинской реабилитации, в общем количестве субъектов:
в 2019 году - 15 процентов;
в 2020 году - 18 процентов;
в 2021 годы - 25 процентов;
в 2022 году - 30 процентов;
в 2023 году - 35 процентов;
в 2024 году - 40 процентов
// увеличение доступности и качества медицинской помощи населению в субъектах Российской Федерации по профилю "медицинская реабилитация" - число развернутых реабилитационных коек на 10000 населения,
в том числе:
взрослых:
в 2019 году - 1,47;
в 2020 году - 1,5;
в 2021 году - 1,53;
в 2022 году - 1,56;
в 2023 году - 1,59;
в 2024 году - 1,62;
детей:
в 2019 году - 1,53;
в 2020 году - 1,57;
в 2021 году - 1,61;
в 2022 году - 1,65;
в 2023 году - 1,68;
в 2024 году - 1,71;
 увеличение доли субъектов Российской Федерации, сформировавших 3-уровневую систему по медицинской реабилитации, в общем количестве субъектов:
в 2019 году - 15 процентов;
в 2020 году - 18 процентов;
в 2021 годы - 25 процентов;
в 2022 году - 30 процентов;
в 2023 году - 35 процентов;
в 2024 году - 40 процентов.
Срок реализации - 2019 - 2024 годы
</t>
  </si>
  <si>
    <t>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t>
  </si>
  <si>
    <t>Цели отражены в ведомственной целевой программе "Организация оказания медицинской помощи учреждениями, подведомственными Управлению делами Президента Российской Федерации" для служебного пользования</t>
  </si>
  <si>
    <t>Подпрограмма "Развитие кадровых ресурсов в здравоохранении"</t>
  </si>
  <si>
    <t>Ведомственная целевая программа "Управление кадровыми ресурсами здравоохранения"</t>
  </si>
  <si>
    <t>повышение доли медицинских и фармацевтических работников отрасли здравоохранения, получивших доступ к современным образовательным программам дополнительного профессионального образования (профессиональная переподготовка, повышение квалификации), разработанных с учетом достижений науки и технологий, клинических рекомендаций (протоколов лечения) и принципов доказательной медицины: к концу 2019 года - 42 процента; к концу 2020 года - 53 процента; к концу 2021 года - 64 процента; к концу 2022 года - 75 процентов; к концу 2023 года - 85 процентов; к концу 2024 года - 100 процентов</t>
  </si>
  <si>
    <t>Подпрограмма "Развитие международных отношений в сфере охраны здоровья"</t>
  </si>
  <si>
    <t>Ведомственная целевая программа "Содействие международному сотрудничеству в сфере охраны здоровья"</t>
  </si>
  <si>
    <t xml:space="preserve">обеспечение участия Российской Федерации в выработке и принятии ключевых решений в области глобального здравоохранения по линии профильных международных организаций на период до 2024 года:
2019 год - 12 единиц;
2020 год - 12 единиц;
2021 год - 12 единиц;
2022 год - 12 единиц;
2023 год - 12 единиц;
2024 год - 12 единиц
</t>
  </si>
  <si>
    <t>Подпрограмма "Экспертиза и контрольно-надзорные функции в сфере охраны здоровья"</t>
  </si>
  <si>
    <t>Ведомственная целевая программа "Развитие государственной экспертной деятельности в сфере здравоохранения"</t>
  </si>
  <si>
    <t>реализация в полном объеме государственной экспертной деятельности в сфере здравоохранения и межведомственного взаимодействия в области обеспечения биологической и химической безопасности: 2019 год - 100 процентов; 2020 год - 100 процентов; 2021 год - 100 процентов; 2022 год - 100 процентов; 2023 год - 100 процентов; 2024 год - 100 процентов</t>
  </si>
  <si>
    <t>Ведомственная целевая программа "Организация государственного санитарно-эпидемиологического надзора и обеспечение санитарно-эпидемиологического благополучия населения"</t>
  </si>
  <si>
    <t xml:space="preserve">обеспечение санитарно-эпидемиологического благополучия населения как одного из основных условий реализации конституционных прав граждан на охрану здоровья и благоприятную окружающую среду посредством:
сохранения уровня заболеваемости дифтерией: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краснухой: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острым вирусным гепатитом B:
в 2019 году - менее 1 на 100 тыс. населения;
в 2020 году - менее 1 на 100 тыс. населения;
в 2021 году - менее 1 на 100 тыс. населения;
в 2022 году - менее 1 на 100 тыс. населения;
в 2023 году - менее 1 на 100 тыс. населения;
в 2024 году - менее 1 на 100 тыс. населения;
снижения уровня инфекционной заболеваемости:
в 2019 году - 1372,9 на 100 тыс. населения;
в 2020 году - 1366,03 на 100 тыс. населения;
в 2021 году - 1359,19 на 100 тыс. населения;
в 2022 году - 1352,39 на 100 тыс. населения;
в 2023 году - 1345,62 на 100 тыс. населения;
в 2024 году - 1338,89 на 100 тыс. населения;
совершенствование федерального государственного санитарно-эпидемиологического надзора, направленного на предупреждение, обнаружение и пресечение нарушений законодательства в области обеспечения санитарно-эпидемиологического благополучия населения в результате:
повышения удельного веса плановых выездных проверок, осуществленных с применением лабораторных исследований:
в 2019 году - 95 процентов;
в 2020 году - 95,5 процента;
в 2021 году - 95,5 процента;
в 2022 году - 96 процентов;
в 2023 году - 96 процентов;
в 2024 году - 96,5 процентов;
увеличение количества проведенных профилактических мероприятий, в том числе в части обучения субъектов предпринимательской деятельности соблюдению санитарных норм и правил, прежде всего в сфере общественного питания:
в 2019 году - 6000;
в 2020 году - 6500;
в 2021 году - 7000;
в 2022 году - 7500;
в 2023 году - 8000;
в 2024 году - 8500.
//обеспечение санитарно-эпидемиологического благополучия населения как одного из основных условий реализации конституционных прав граждан на охрану здоровья и благоприятную окружающую среду посредством:
сохранения уровня заболеваемости дифтерией: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краснухой: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острым вирусным гепатитом B:
в 2019 году - менее 1 на 100 тыс. населения;
в 2020 году - менее 1 на 100 тыс. населения;
в 2021 году - менее 1 на 100 тыс. населения;
в 2022 году - менее 1 на 100 тыс. населения;
в 2023 году - менее 1 на 100 тыс. населения;
в 2024 году - менее 1 на 100 тыс. населения;
снижения уровня инфекционной заболеваемости:
в 2019 году - 1372,9 на 100 тыс. населения;
в 2020 году - 1366,03 на 100 тыс. населения;
в 2021 году - 1359,19 на 100 тыс. населения;
в 2022 году - 1352,39 на 100 тыс. населения;
в 2023 году - 1345,62 на 100 тыс. населения;
в 2024 году - 1338,89 на 100 тыс. населения;
совершенствование федерального государственного санитарно-эпидемиологического надзора, направленного на предупреждение, обнаружение и пресечение нарушений законодательства в области обеспечения санитарно-эпидемиологического благополучия населения в результате:
повышения удельного веса плановых выездных проверок, осуществленных с применением лабораторных исследований:
в 2019 году - 95 процентов;
в 2020 году - 95,5 процента;
в 2021 году - 95,5 процента;
в 2022 году - 96 процентов;
в 2023 году - 96 процентов;
в 2024 году - 96,5 процентов;
увеличение количества проведенных профилактических мероприятий, в том числе в части обучения субъектов предпринимательской деятельности соблюдению санитарных норм и правил, прежде всего в сфере общественного питания:
в 2019 году - 6000;
в 2020 году - 6500;
в 2021 году - 7000;
в 2022 году - 7500;
в 2023 году - 8000;
в 2024 году - 8500.
//обеспечение санитарно-эпидемиологического благополучия населения как одного из основных условий реализации конституционных прав граждан на охрану здоровья и благоприятную окружающую среду посредством:
сохранения уровня заболеваемости дифтерией: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краснухой: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острым вирусным гепатитом B:
в 2019 году - менее 1 на 100 тыс. населения;
в 2020 году - менее 1 на 100 тыс. населения;
в 2021 году - менее 1 на 100 тыс. населения;
в 2022 году - менее 1 на 100 тыс. населения;
в 2023 году - менее 1 на 100 тыс. населения;
в 2024 году - менее 1 на 100 тыс. населения;
снижения уровня инфекционной заболеваемости:
в 2019 году - 1372,9 на 100 тыс. населения;
в 2020 году - 1366,03 на 100 тыс. населения;
в 2021 году - 1359,19 на 100 тыс. населения;
в 2022 году - 1352,39 на 100 тыс. населения;
в 2023 году - 1345,62 на 100 тыс. населения;
в 2024 году - 1338,89 на 100 тыс. населения;
совершенствование федерального государственного санитарно-эпидемиологического надзора, направленного на предупреждение, обнаружение и пресечение нарушений законодательства в области обеспечения санитарно-эпидемиологического благополучия населения в результате:
повышения удельного веса плановых выездных проверок, осуществленных с применением лабораторных исследований:
в 2019 году - 95 процентов;
в 2020 году - 95,5 процента;
в 2021 году - 95,5 процента;
в 2022 году - 96 процентов;
в 2023 году - 96 процентов;
в 2024 году - 96,5 процентов;
увеличение количества проведенных профилактических мероприятий, в том числе в части обучения субъектов предпринимательской деятельности соблюдению санитарных норм и правил, прежде всего в сфере общественного питания:
в 2019 году - 6000;
в 2020 году - 6500;
в 2021 году - 7000;
в 2022 году - 7500;
в 2023 году - 8000;
в 2024 году - 8500.
//обеспечение санитарно-эпидемиологического благополучия населения как одного из основных условий реализации конституционных прав граждан на охрану здоровья и благоприятную окружающую среду посредством:
сохранения уровня заболеваемости дифтерией: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краснухой: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острым вирусным гепатитом B:
в 2019 году - менее 1 на 100 тыс. населения;
в 2020 году - менее 1 на 100 тыс. населения;
в 2021 году - менее 1 на 100 тыс. населения;
в 2022 году - менее 1 на 100 тыс. населения;
в 2023 году - менее 1 на 100 тыс. населения;
в 2024 году - менее 1 на 100 тыс. населения;
снижения уровня инфекционной заболеваемости:
в 2019 году - 1372,9 на 100 тыс. населения;
в 2020 году - 1366,03 на 100 тыс. населения;
в 2021 году - 1359,19 на 100 тыс. населения;
в 2022 году - 1352,39 на 100 тыс. населения;
в 2023 году - 1345,62 на 100 тыс. населения;
в 2024 году - 1338,89 на 100 тыс. населения;
совершенствование федерального государственного санитарно-эпидемиологического надзора, направленного на предупреждение, обнаружение и пресечение нарушений законодательства в области обеспечения санитарно-эпидемиологического благополучия населения в результате:
повышения удельного веса плановых выездных проверок, осуществленных с применением лабораторных исследований:
в 2019 году - 95 процентов;
в 2020 году - 95,5 процента;
в 2021 году - 95,5 процента;
в 2022 году - 96 процентов;
в 2023 году - 96 процентов;
в 2024 году - 96,5 процентов;
увеличение количества проведенных профилактических мероприятий, в том числе в части обучения субъектов предпринимательской деятельности соблюдению санитарных норм и правил, прежде всего в сфере общественного питания:
в 2019 году - 6000;
в 2020 году - 6500;
в 2021 году - 7000;
в 2022 году - 7500;
в 2023 году - 8000;
в 2024 году - 8500.
//обеспечение санитарно-эпидемиологического благополучия населения как одного из основных условий реализации конституционных прав граждан на охрану здоровья и благоприятную окружающую среду посредством:
сохранения уровня заболеваемости дифтерией: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краснухой:
в 2019 году - менее 0,01 на 100 тыс. населения;
в 2020 году - менее 0,01 на 100 тыс. населения;
в 2021 году - менее 0,01 на 100 тыс. населения;
в 2022 году - менее 0,01 на 100 тыс. населения;
в 2023 году - менее 0,01 на 100 тыс. населения;
в 2024 году - менее 0,01 на 100 тыс. населения;
сохранения уровня заболеваемости острым вирусным гепатитом B:
в 2019 году - менее 1 на 100 тыс. населения;
в 2020 году - менее 1 на 100 тыс. населения;
в 2021 году - менее 1 на 100 тыс. населения;
в 2022 году - менее 1 на 100 тыс. населения;
в 2023 году - менее 1 на 100 тыс. населения;
в 2024 году - менее 1 на 100 тыс. населения;
снижения уровня инфекционной заболеваемости:
в 2019 году - 1372,9 на 100 тыс. населения;
в 2020 году - 1366,03 на 100 тыс. населения;
в 2021 году - 1359,19 на 100 тыс. населения;
в 2022 году - 1352,39 на 100 тыс. населения;
в 2023 году - 1345,62 на 100 тыс. населения;
в 2024 году - 1338,89 на 100 тыс. населения;
совершенствование федерального государственного санитарно-эпидемиологического надзора, направленного на предупреждение, обнаружение и пресечение нарушений законодательства в области обеспечения санитарно-эпидемиологического благополучия населения в результате:
повышения удельного веса плановых выездных проверок, осуществленных с применением лабораторных исследований:
в 2019 году - 95 процентов;
в 2020 году - 95,5 процента;
в 2021 году - 95,5 процента;
в 2022 году - 96 процентов;
в 2023 году - 96 процентов;
в 2024 году - 96,5 процентов;
увеличение количества проведенных профилактических мероприятий, в том числе в части обучения субъектов предпринимательской деятельности соблюдению санитарных норм и правил, прежде всего в сфере общественного питания:
в 2019 году - 6000;
в 2020 году - 6500;
в 2021 году - 7000;
в 2022 году - 7500;
в 2023 году - 8000;
в 2024 году - 8500.
</t>
  </si>
  <si>
    <t>Ведомственная целевая программа "Контроль, экспертиза, мониторинг и предоставление государственных услуг в сфере охраны здоровья"</t>
  </si>
  <si>
    <t xml:space="preserve">реализация в полном объеме разрешительных и контрольно-надзорных функций в сфере охраны здоровья граждан на основе риск-ориентированного подхода в соответствии с постановлениями Правительства Российской Федерации от 19 июня 2012 г. N 608 "Об утверждении Положения о Министерстве здравоохранения Российской Федерации" и от 30 июня 2004 г. N 323 "Об утверждении Положения о Федеральной службе по надзору в сфере здравоохранения":
в 2019 году - 100 процентов;
в 2020 году - 100 процентов;
в 2021 году - 100 процентов;
в 2022 году - 100 процентов;
в 2023 году - 100 процентов;
в 2024 году - 100 процентов.
</t>
  </si>
  <si>
    <t>Ведомственная целевая программа "Медицинское обеспечение авиационного персонала гражданской авиации и студентов (курсантов) образовательных учреждений гражданской авиации"</t>
  </si>
  <si>
    <t xml:space="preserve">выполнение плана проверок соответствия состояния здоровья требованиям федеральных авиационных правил в полном объеме лиц из числа авиационного персонала и студентов (курсантов) образовательных организаций гражданской авиации, число законченных медицинских освидетельствований:
в 2019 году - 7741 единица;
в 2020 году - 7744 единицы;
в 2021 году - 7744 единицы;
в 2022 году - 7744 единицы;
в 2023 году - 7744 единицы;
в 2024 году - 7744 единицы;
выполнение в полном объеме мероприятий по обеспечению мониторинга здоровья авиационного персонала гражданской авиации (в том числе в рамках государственного задания)
в 2019 году - 100 процентов;
в 2020 году - 100 процентов;
в 2021 году - 100 процентов;
в 2022 году - 100 процентов;
в 2023 году - 100 процентов;
в 2024 году - 100 процентов.
</t>
  </si>
  <si>
    <t>Б</t>
  </si>
  <si>
    <t>Подпрограмма "Медико-санитарное обеспечение отдельных категорий граждан"</t>
  </si>
  <si>
    <t>Ведомственная целевая программа "Медико-биологическое обеспечение спортсменов спортивных сборных команд Российской Федерации"</t>
  </si>
  <si>
    <t>увеличение количества допущенных по состоянию здоровья спортсменов к соревновательной и тренировочной деятельности: к 2019 году - до 81 процента; к 2020 году - до 82 процентов; к 2021 году - до 83 процентов; к 2022 году - до 84 процентов; к 2023 году - до 85 процентов; к 2024 году - до 86 процентов.</t>
  </si>
  <si>
    <t>Ведомственная целевая программа "Медико-санитарное обеспечение работников обслуживаемых организаций и населения обслуживаемых территорий"</t>
  </si>
  <si>
    <t xml:space="preserve">повышение охвата работников обслуживаемых организаций периодическими медицинскими осмотрами к 2019 году - до 97,4 процента; к 2020 году - до 97,5 процента; к 2021 году - до 97,8 процента; к 2022 году - до 98% процентов; к 2023 году - до 98,3 процента; к 2024 году - до 98,5 процента;
снижения смертности населения в трудоспособном возрасте, на территориях, подлежащих обслуживанию ФМБА России: к 2019 году - до 465,6 на 100 тыс. населения; к 2020 году - до 463,6 на 100 тыс. населения; к 2021 году - до 461 на 100 тыс. населения; к 2022 году - до 459,3 на 100 тыс. населения; к 2023 году - до 457 на 100 тыс. населения; к 2024 году - до 455,6 на 100 тыс. населения;
выполнение плана проверок юридических лиц и индивидуальных предпринимателей в части соблюдения требований законодательства в области обеспечения санитарно-эпидемиологического благополучия населения: в 2019 году - до 91 процента; в 2020 году - до 92 процентов; в 2021 году - до 93 процентов; в 2022 году - до 94 процентов; в 2023 году - до 95 процентов; в 2024 году - до 96 процентов.
//Повышение охвата работников обслуживаемых организаций периодическими медицинскими осмотрами к 2019 году - до 97,4 процента; к 2020 году - до 97,5 процента; к 2021 году - до 97,8 процента; к 2022 году - до 98% процентов; к 2023 году - до 98,3 процента; к 2024 году - до 98,5 процента;
снижения смертности населения в трудоспособном возрасте, на территориях, подлежащих обслуживанию ФМБА России: к 2019 году - до 465,6 на 100 тыс. населения; к 2020 году - до 463,6 на 100 тыс. населения; к 2021 году - до 461 на 100 тыс. населения; к 2022 году - до 459,3 на 100 тыс. населения; к 2023 году - до 457 на 100 тыс. населения; к 2024 году - до 455,6 на 100 тыс. населения;
выполнение плана проверок юридических лиц и индивидуальных предпринимателей в части соблюдения требований законодательства в области обеспечения санитарно-эпидемиологического благополучия населения: в 2019 году - до 91 процента; в 2020 году - до 92 процентов; в 2021 году - до 93 процентов; в 2022 году - до 94 процентов; в 2023 году - до 95 процентов; в 2024 году - до 96 процентов.
</t>
  </si>
  <si>
    <t>Подпрограмма "Управление развитием отрасли"</t>
  </si>
  <si>
    <t>Основное мероприятие "Реализация функций ответственного исполнителя государственной программы"</t>
  </si>
  <si>
    <t>не указана в ГП</t>
  </si>
  <si>
    <t>Ведомственная целевая программа "Анализ и мониторинг системы здравоохранения"</t>
  </si>
  <si>
    <t xml:space="preserve">обеспечение мониторинга достижения медико-статистических показателей в сфере здравоохранения на уровне 100 процентов для принятия и контроля исполнения управленческих решений по реализации приоритетных и стратегических направлений в сфере здравоохранения:
в 2019 году - 100 процентов;
в 2020 году - 100 процентов;
в 2021 году - 100 процентов;
в 2022 году - 100 процентов;
в 2023 году - 100 процентов;
в 2024 году - 100 процентов;
организационное и методическое обеспечение контроля качества медицинской помощи в полном объеме:
в 2019 году - 100 процентов;
в 2020 году - 100 процентов;
в 2021 году - 100 процентов;
в 2022 году - 100 процентов;
в 2023 году - 100 процентов;
в 2024 году - 100 процентов.
</t>
  </si>
  <si>
    <t>Подпрограмма "Информационные технологии и управление развитием отрасли"</t>
  </si>
  <si>
    <t>Ведомственная целевая программа "Информационно-технологическая поддержка реализации государственной программы"</t>
  </si>
  <si>
    <t xml:space="preserve">обеспечение информационной и технологической поддержки деятельности Минздрава России в области использования информационных и коммуникационных технологий и систем, а также вычислительной техники в части обеспечения межведомственного информационного взаимодействия:
в 2019 году - 100 процентов;
в 2020 году - 100 процентов;
в 2021 году - 100 процентов;
в 2022 году - 100 процентов;
в 2023 году - 100 процентов;
в 2024 году - 100 процентов;
техническое сопровождение и эксплуатация, включая осуществление мероприятий по обеспечению информационной безопасности информационных систем Минздрава России:
в 2019 году - не менее 48 информационных систем;
в 2020 году - не менее 48 информационных систем;
в 2021 году - не менее 48 информационных систем;
в 2022 году - не менее 48 информационных систем;
в 2023 году - не менее 48 информационных систем;
в 2024 году - не менее 48 информационных систем;
техническое сопровождение и эксплуатация, включая осуществление мероприятий по обеспечению информационной безопасности компонентов информационно-телекоммуникационной инфраструктуры Минздрава России:
в 2019 году - не менее 5677 компонентов инфраструктуры;
в 2020 году - не менее 5677 компонентов инфраструктуры;
в 2021 году - не менее 5677 компонентов инфраструктуры;
в 2022 году - не менее 5677 компонентов инфраструктуры;
в 2023 году - не менее 5677 компонентов инфраструктуры;
в 2024 году - не менее 5677 компонентов инфраструктуры.
</t>
  </si>
  <si>
    <t>Подпрограмма "Совершенствование оказания медицинской помощи, включая профилактику заболеваний и формирование здорового образа жизни"</t>
  </si>
  <si>
    <t>Ведомственная целевая программа "Совершенствование оказания скорой медицинской помощи и деятельности Всероссийской службы медицины катастроф"</t>
  </si>
  <si>
    <t xml:space="preserve">сокращение времени доезда (менее 20 минут) выездных бригад скорой медицинской помощи в экстренной форме до пациента и до места дорожно-транспортного происшествия соответственно:
2019 год - 89,5 процента;
2020 год - 90 процентов;
2021 год - 90,5 процента;
2022 год - 91 процент;
2023 год - 91,5 процента;
2024 год - 92 процента;
2019 год - 95 процентов;
2020 год - 95,5 процента;
2021 год - 95,5 процента;
2022 год - 96 процентов;
2023 год - 96 процентов;
2024 год - 96,5 процента;
 снижение больничной летальности пострадавших в результате чрезвычайных ситуаций, поступивших в медицинские организации, за счет совершенствования работы Всероссийской службы медицины катастроф:
2019 год - 2,3 процента;
2020 год - 2,2 процента;
2021 год - 2,1 процента;
2022 год - 2 процента;
2023 год - 1,9 процента;
2024 год - 1,8 процента.
//сокращение времени доезда (менее 20 минут) выездных бригад скорой медицинской помощи в экстренной форме до пациента и до места дорожно-транспортного происшествия соответственно:
2019 год - 89,5 процента;
2020 год - 90 процентов;
2021 год - 90,5 процента;
2022 год - 91 процент;
2023 год - 91,5 процента;
2024 год - 92 процента;
2019 год - 95 процентов;
2020 год - 95,5 процента;
2021 год - 95,5 процента;
2022 год - 96 процентов;
2023 год - 96 процентов;
2024 год - 96,5 процента;
снижение больничной летальности пострадавших в результате чрезвычайных ситуаций, поступивших в медицинские организации, за счет совершенствования работы Всероссийской службы медицины катастроф:
2019 год - 2,3 процента;
2020 год - 2,2 процента;
2021 год - 2,1 процента;
2022 год - 2 процента;
2023 год - 1,9 процента;
2024 год - 1,8 процента.
Срок реализации - 2019 - 2024 годы.
//сокращение времени доезда (менее 20 минут) выездных бригад скорой медицинской помощи в экстренной форме до пациента и до места дорожно-транспортного происшествия соответственно:
2019 год - 89,5 процента;
2020 год - 90 процентов;
2021 год - 90,5 процента;
2022 год - 91 процент;
2023 год - 91,5 процента;
2024 год - 92 процента;
2019 год - 95 процентов;
2020 год - 95,5 процента;
2021 год - 95,5 процента;
2022 год - 96 процентов;
2023 год - 96 процентов;
2024 год - 96,5 процента;
 снижение больничной летальности пострадавших в результате чрезвычайных ситуаций, поступивших в медицинские организации, за счет совершенствования работы Всероссийской службы медицины катастроф:
2019 год - 2,3 процента;
2020 год - 2,2 процента;
2021 год - 2,1 процента;
2022 год - 2 процента;
2023 год - 1,9 процента;
2024 год - 1,8 процента.
Срок реализации - 2019 - 2024 годы.
</t>
  </si>
  <si>
    <t>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t>
  </si>
  <si>
    <t xml:space="preserve">обеспечение качества и доступности медицинской помощи по профилям "психиатрия-наркология" и "психиатрия" в результате:
увеличения доли пациентов с наркологическими расстройствами, включенных в стационарные программы медицинской реабилитации, от числа госпитализированных пациентов с наркологическими расстройствами:
в 2019 году - 5,56 процента;
в 2020 году - 5,65 процента;
в 2021 году - 5,73 процента;
в 2022 году - 5,82 процента;
в 2023 году - 5,9 процента;
в 2024 году - 5,99 процента;
увеличения доли пациентов с наркологическими расстройствами, включенных в амбулаторные программы медицинской реабилитации, от числа состоящих под диспансерным наблюдением пациентов с наркологическими расстройствами:
в 2019 году - 4,62 процента;
в 2020 году - 4,63 процента;
в 2021 году - 4,65 процента;
в 2022 году - 4,66 процента;
в 2023 году - 4,67 процента;
в 2024 году - 4,68 процента;
увеличения доли пациентов с психическими расстройствами и расстройствами поведения, охваченных бригадными формами оказания психиатрической помощи, в общем числе пациентов, выписанных из стационара:
в 2019 году - 32,3 процента;
в 2020 году - 33,3 процента;
в 2021 году - 34,3 процента;
в 2022 году - 35,3 процента;
в 2023 году - 36,3 процента;
в 2024 году - 37,3 процента;
увеличения доли пациентов, страдающих хроническими и затяжными психическими расстройствами с тяжелыми стойкими или часто обостряющимися болезненными проявлениями, охваченных бригадными формами оказания психиатрической помощи, в общем числе пациентов, находящихся на диспансерном наблюдении:
в 2019 году - 21,8 процента;
в 2020 году - 22,8 процента;
в 2021 году - 23,8 процента;
в 2022 году - 24,8 процента;
в 2023 году - 25,8 процента;
в 2024 году - 26,8 процента;
проведения мероприятий по строительству (реконструкции) объектов государственной собственности Российской Федерации и собственности субъектов Российской Федерации (количество объектов капитального строительства):
в 2019 году - 12;
в 2020 году - 12;
в 2021 году - 5;
медицинского сопровождения (при необходимости) лиц, страдающих психическими расстройствами, при передаче их к месту проведения принудительного лечения в психиатрическом стационаре, как части комплекса мер по исправлению и перевоспитанию правонарушителей в государствах, гражданами которых они являются, исходя из принципа гуманности (количество человек):
в 2019 году - 12;
в 2020 году - 12;
в 2021 году - 12;
в 2022 году - 12;
в 2023 году - 12;
в 2024 году - 12.
Срок реализации - 2019 - 2024 годы
</t>
  </si>
  <si>
    <t>Ведомственная целевая программа "Донорство и трансплантация органов в Российской Федерации"</t>
  </si>
  <si>
    <t>повышение доступности медицинской помощи методом трансплантации (пересадки) органов человека: в 2019 году до 16,7 на 1 млн. населения; в 2020 году до 18,4 на 1 млн. населения; в 2021 году до 20,1 на 1 млн. населения; в 2022 году до 21,8 на 1 млн. населения; в 2023 году до 23,5 на 1 млн. населения; в 2024 году до 25,2 на 1 млн. населения//повышение доступности медицинской помощи методом трансплантации (пересадки) органов человека: в 2019 году до 16,7 на 1 млн. населения; в 2020 году до 18,4 на 1 млн. населения; в 2021 году до 20,1 на 1 млн. населения; в 2022 году до 21,8 на 1 млн. населения; в 2023 году до 23,5 на 1 млн. населения; в 2024 году до 25,2 на 1 млн. населения.//повышение доступности медицинской помощи методом трансплантации (пересадки) органов человека: в 2019 году до 16,7 на 1 млн. населения; в 2020 году до 18,4 на 1 млн. населения; в 2021 году до 20,1 на 1 млн. населения; в 2022 году до 21,8 на 1 млн. населения; в 2023 году до 23,5 на 1 млн. населения; в 2024 году до 25,2 на 1 млн. населения//повышение доступности медицинской помощи методом трансплантации (пересадки) органов человека: в 2019 году до 16,7 на 1 млн. населения; в 2020 году до 18,4 на 1 млн. населения; в 2021 году до 20,1 на 1 млн. населения; в 2022 году до 21,8 на 1 млн. населения; в 2023 году до 23,5 на 1 млн. населения; в 2024 году до 25,2 на 1 млн. населения</t>
  </si>
  <si>
    <t>Ведомственная целевая программа "Развитие службы крови"</t>
  </si>
  <si>
    <t xml:space="preserve">обеспечение потребности организаций, подведомственных федеральным органам исполнительной власти, компонентами донорской крови и развитие единой базы данных по осуществлению мероприятий, связанных с обеспечением безопасности донорской крови и ее компонентов, развитием, организацией и пропагандой донорства крови и ее компонентов в части: увеличения уровня удовлетворения потребности федеральных организаций в компонентах донорской крови: 2019 год - 50 процентов; 2020 год - 60 процентов; 2021 год - не менее 95 процентов; 2022 год - не менее 95 процентов; 2023 год - не менее 95 процентов; 2024 год - не менее 95 процентов;
увеличения доли федеральных организаций, обеспеченных компонентами донорской крови: 2019 - 70 процентов; 2020 - 80 процентов; 2021 - 90 процентов;2022 - не менее 95 процентов; 2023 - не менее 95 процентов; 2024 - не менее 95 процентов;
увеличения доли учреждений, для которых осуществляется техническое сопровождение и развитие единой базы данных по осуществлению мероприятий, связанных с обеспечением безопасности донорской крови и ее компонентов, развитием, организацией и пропагандой донорства крови и ее компонентов: 2019 - 80 процентов; 2020 - 85 процентов; 2021 - 90 процентов; 2022 - не менее 95 процентов; 2023 - не менее 95 процентов; 2024 - не менее 95 процентов.
</t>
  </si>
  <si>
    <t>Ведомственная целевая программа "Высокотехнологичная медицинская помощь и медицинская помощь, оказываемая в рамках клинической апробации методов профилактики, диагностики, лечения и реабилитации"</t>
  </si>
  <si>
    <t xml:space="preserve">увеличение в 2024 году обеспеченности населения высокотехнологичной медицинской помощью не менее чем на 28 процентов по сравнению с 2017 годом, в том числе: в 2019 году - 748,4 человек на 100 тыс. населения; в 2020 году - 782,3 человек на 100 тыс. населения; в 2021 году - 816,4 человек на 100 тыс. населения; в 2022 году - 850,7 человек на 100 тыс. населения; в 2023 году - 885,2 человек на 100 тыс. населения; в 2024 году - 919,8 человек на 100 тыс. населения;
создание условий по обеспечению населения медицинской помощью, в рамках которой применяются инновационные, в том числе разработанные и ранее не применявшиеся методы профилактики, диагностики, лечения и реабилитации, включая:
медицинскую помощь, оказываемую в рамках клинической апробации методов профилактики, диагностики, лечения и реабилитации, в количестве не менее чем: в 2019 году - 8,2 человека на 100 тыс. населения; в 2020 году - 8,2 человека на 100 тыс. населения; в 2021 году - 8,2 человека на 100 тыс. населения; в 2022 году - 8,2 человека на 100 тыс. населения; в 2023 году - 8,2 человека на 100 тыс. населения; в 2024 году - 8,2 человека на 100 тыс. населения;
медико-генетические консультации, включающие проведение высокотехнологичных генетических диагностических исследований, выполняемых в федеральных медико-генетических центрах в целях диагностики и профилактики наследственных и (или) врожденных заболеваний, консультаций, в количестве не менее чем: в 2019 году - 12,3 человека на 100 тыс. населения; в 2020 году - 12,3 человека на 100 тыс. населения; в 2021 году - 12,3 человека на 100 тыс. населения; в 2022 году - 12,3 человека на 100 тыс. населения; в 2023 году - 12,3 человека на 100 тыс. населения; в 2024 году - 12,3 человека на 100 тыс. населения
</t>
  </si>
  <si>
    <t>Ведомственная целевая программа "Предупреждение и борьба с социально значимыми инфекционными заболеваниями"</t>
  </si>
  <si>
    <t xml:space="preserve">улучшение эпидемиологической обстановки по туберкулезу и снижение к 2025 году заболеваемости туберкулезом: в 2019 году - до 45 человек на 100 тыс. населения; в 2020 году - до 43 человек на 100 тыс. населения; в 2021 году - до 41 человек на 100 тыс. населения; в 2022 году - до 39 человек на 100 тыс. населения; в 2023 году - до 37 человек на 100 тыс. населения; в 2024 году - до 35 человек на 100 тыс. населения;
обеспечение доступности медицинской помощи лицам, зараженным вирусом иммунодефицита человека, и увеличение доли лиц, зараженных вирусом иммунодефицита человека, получающих антиретровирусную терапию, от общего числа лиц, зараженных вирусом иммунодефицита человека и состоящих под диспансерным наблюдением: в 2019 году - до 55 процентов; в 2020 году - до 65 процентов; в 2021 году - до 90 процентов; в 2022 году - до 100 процентов; в 2023 году - до 100 процентов; в 2024 году - до 100 процентов;
обеспечение оказания медицинской помощи вновь выявленным и находящимся в стадии ремиссии больным лепрой в условиях специализированных федеральных медицинских организаций в количестве: в 2019 году - не менее 122 человек; в 2020 году - не менее 122 человек; в 2021 году - не менее 122 человек; в 2022 году - не менее 122 человек; в 2023 году - не менее 122 человек; в 2024 году - не менее 122 человек.
</t>
  </si>
  <si>
    <t>Ведомственная целевая программа "Укрепление материально-технической базы учреждений"</t>
  </si>
  <si>
    <t xml:space="preserve">приведение в соответствие структурных подразделений учреждений, подведомственных Минздраву России, и федерального государственного бюджетного образовательного учреждения высшего образования "Московский государственный университет имени М.В. Ломоносова" с требованиями ГУ МЧС России, Росздравнадзора и Роспотребнадзора, в части проведения капитального ремонта объектов капитального строительства, находящихся в оперативном управлении учреждений, а также приобретения высокотехнологичного медицинского оборудования, научного оборудования, прочего оборудования, а также оборудования для образовательного процесса (количество учреждений, в которых проведен капитальный ремонт, приобретено новое оборудование и взамен изношенного оборудования): в 2019 году - 85 учреждений; в 2020 году - 87 учреждений; в 2021 году - 88 учреждений; в 2022 году - 90 учреждений; в 2023 году - 91 учреждение; в 2024 году - 93 учреждения;
создание новых площадей для осуществления профильной медицинской деятельности в соответствии с санитарными и иными нормами путем осуществления капитальных вложений в объекты государственной собственности Российской Федерации (для учреждений, подведомственных Минздраву России), государственной собственности субъектов Российской Федерации (муниципальной собственности) и обеспечения функционирования имеющейся материально-технической базы: в 2019 году - 169,1 тыс. кв. метров общей площади объектов капитального строительства, введенных в эксплуатацию; в 2020 году - 110,2 тыс. кв. метров общей площади объектов капитального строительства, введенных в эксплуатацию; в 2021 году - 234,5 тыс. кв. метров общей площади объектов капитального строительства, введенных в эксплуатацию; в 2022 году - 21,1 тыс. кв. метров общей площади объектов капитального строительства, введенных в эксплуатацию; в 2023 году - 21,1 тыс. кв. метров общей площади объектов капитального строительства, введенных в эксплуатацию; в 2024 году - 21,1 тыс. кв. м общей площади объектов капитального строительства, введенных в эксплуатацию;
осуществление функций государственного заказчика по строительству (реконструкции, в том числе с элементами реставрации, техническом перевооружении) отдельных объектов учреждений, подведомственных Минздраву России: в 2019 году - 100 процентов; в 2020 году - 100 процентов; в 2021 году - 100 процентов; в 2022 году - 100 процентов; в 2023 году - 100 процентов;в 2024 году - 100 процентов.
</t>
  </si>
  <si>
    <t>Ведомственная целевая программа "Развитие системы оказания паллиативной медицинской помощи"</t>
  </si>
  <si>
    <t xml:space="preserve">обеспечение потребности населения Российской Федерации в оказании паллиативной медицинской помощи путем ее развития, в том числе в амбулаторных условиях, и повышения доступности лекарственных препаратов для обезболивания и устранения иных тягостных симптомов при оказании паллиативной медицинской помощи, в том числе за счет:
увеличения к 2024 году числа посещений на 100 тыс. населения с паллиативной целью к медицинским работникам не менее чем в 2,5 раза по сравнению с 2017 годом, в том числе по годам: в 2019 году - 1000 на 100 тыс. населения; в 2020 году - 1200 на 100 тыс. населения; в 2021 году - 1400 на 100 тыс. населения; в 2022 году - 1600 на 100 тыс. населения; в 2023 году - 1800 на 100 тыс. населения; в 2024 году - 2000 на 100 тыс. населения;
увеличения к 2024 году доли посещений выездных патронажных бригад на дому для оказания паллиативной медицинской помощи в общем количестве посещений по паллиативной медицинской помощи на 22,1 процента по сравнению с 2017 годом: в 2019 году - 40 процентов; в 2020 году - 45 процентов; в 2021 году - 48 процентов; в 2022 году - 52 процента; в 2023 году - 56 процентов; в 2024 году - 60 процентов;
увеличение к 2024 году уровня обеспеченности койками для оказания паллиативной медицинской помощи на 10000 населения на 2,3 по сравнению с 2017 годом, в том числе по годам: в 2019 году - 8,9 на 10000 населения; в 2020 году - 9 на 10000 населения; в 2021 году - 9,2 на 10000 населения; в 2022 году - 9,5 на 10000 населения; в 2023 году - 9,7 на 10000 населения; в 2024 году - 10 на 10000 населения;
увеличения к 2024 году на 15 процентов и сохранения полноты выборки наркотических лекарственных препаратов регионами в рамках потребности в соответствии с планом распределения наркотических лекарственных препаратов и психотропных веществ, по сравнению с 2017 годом, в том числе по годам: в 2019 году - 80 процентов; в 2020 году - 85 процентов; в 2021 году - 90 процентов; в 2022 году - 95 процентов; в 2023 году - 95 процентов; в 2024 году - 95 процентов.
//обеспечение потребности населения Российской Федерации в оказании паллиативной медицинской помощи путем ее развития, в том числе в амбулаторных условиях, и повышения доступности лекарственных препаратов для обезболивания и устранения иных тягостных симптомов при оказании паллиативной медицинской помощи, в том числе за счет:
увеличения к 2024 году числа посещений на 100 тыс. населения с паллиативной целью к медицинским работникам не менее чем в 2,5 раза по сравнению с 2017 годом, в том числе по годам: в 2019 году - 1000 на 100 тыс. населения; в 2020 году - 1200 на 100 тыс. населения; в 2021 году - 1400 на 100 тыс. населения; в 2022 году - 1600 на 100 тыс. населения; в 2023 году - 1800 на 100 тыс. населения; в 2024 году - 2000 на 100 тыс. населения;
увеличения к 2024 году доли посещений выездных патронажных бригад на дому для оказания паллиативной медицинской помощи в общем количестве посещений по паллиативной медицинской помощи на 22,1 процента по сравнению с 2017 годом: в 2019 году - 40 процентов; в 2020 году - 45 процентов; в 2021 году - 48 процентов; в 2022 году - 52 процента; в 2023 году - 56 процентов; в 2024 году - 60 процентов;
увеличение к 2024 году уровня обеспеченности койками для оказания паллиативной медицинской помощи на 10000 населения на 2,3 по сравнению с 2017 годом, в том числе по годам: в 2019 году - 8,9 на 10000 населения; в 2020 году - 9 на 10000 населения; в 2021 году - 9,2 на 10000 населения; в 2022 году - 9,5 на 10000 населения; в 2023 году - 9,7 на 10000 населения; в 2024 году - 10 на 10000 населения;
увеличения к 2024 году на 15 процентов и сохранения полноты выборки наркотических лекарственных препаратов регионами в рамках потребности в соответствии с планом распределения наркотических лекарственных препаратов и психотропных веществ, по сравнению с 2017 годом, в том числе по годам: в 2019 году - 80 процентов; в 2020 году - 85 процентов; в 2021 году - 90 процентов; в 2022 году - 95 процентов; в 2023 году - 95 процентов; в 2024 году - 95 процентов.
//обеспечение потребности населения Российской Федерации в оказании паллиативной медицинской помощи путем ее развития, в том числе в амбулаторных условиях, и повышения доступности лекарственных препаратов для обезболивания и устранения иных тягостных симптомов при оказании паллиативной медицинской помощи, в том числе за счет:
увеличения к 2024 году числа посещений на 100 тыс. населения с паллиативной целью к медицинским работникам не менее чем в 2,5 раза по сравнению с 2017 годом, в том числе по годам: в 2019 году - 1000 на 100 тыс. населения; в 2020 году - 1200 на 100 тыс. населения; в 2021 году - 1400 на 100 тыс. населения; в 2022 году - 1600 на 100 тыс. населения; в 2023 году - 1800 на 100 тыс. населения; в 2024 году - 2000 на 100 тыс. населения;
увеличения к 2024 году доли посещений выездных патронажных бригад на дому для оказания паллиативной медицинской помощи в общем количестве посещений по паллиативной медицинской помощи на 22,1 процента по сравнению с 2017 годом: в 2019 году - 40 процентов; в 2020 году - 45 процентов; в 2021 году - 48 процентов; в 2022 году - 52 процента; в 2023 году - 56 процентов; в 2024 году - 60 процентов;
увеличение к 2024 году уровня обеспеченности койками для оказания паллиативной медицинской помощи на 10000 населения на 2,3 по сравнению с 2017 годом, в том числе по годам: в 2019 году - 8,9 на 10000 населения; в 2020 году - 9 на 10000 населения; в 2021 году - 9,2 на 10000 населения; в 2022 году - 9,5 на 10000 населения; в 2023 году - 9,7 на 10000 населения; в 2024 году - 10 на 10000 населения;
увеличения к 2024 году на 15 процентов и сохранения полноты выборки наркотических лекарственных препаратов регионами в рамках потребности в соответствии с планом распределения наркотических лекарственных препаратов и психотропных веществ, по сравнению с 2017 годом, в том числе по годам: в 2019 году - 80 процентов; в 2020 году - 85 процентов; в 2021 году - 90 процентов; в 2022 году - 95 процентов; в 2023 году - 95 процентов; в 2024 году - 95 процентов.
</t>
  </si>
  <si>
    <t>31.12.2019</t>
  </si>
  <si>
    <t>Ведомственная целевая программа "Обеспечение отдельных категорий граждан лекарственными препаратами в амбулаторных условиях"</t>
  </si>
  <si>
    <t xml:space="preserve">обеспечение доступности для лиц,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лиц после трансплантации органов и (или) тканей необходимыми лекарственными препаратами по оформленным рецептам при оказании медицинской помощи в амбулаторных условиях к 2024 году до 100 процентов: к 2019 году - 99,5 процента; к 2020 году - 99,6 процента; к 2021 году - 99,7 процента; к 2022 году - 99,8 процента; к 2023 году - 99,9 процента; к 2024 году - 100 процентов;
обеспечение охвата декретированных групп населения профилактическими прививками в рамках национального календаря профилактических прививок к 2024 году не менее 95 процентов: к 2019 году - не менее 95 процентов; к 2020 году - не менее 95 процентов; к 2021 году - не менее 95 процентов; к 2022 году - не менее 95 процентов; к 2023 году - не менее 95 процентов; к 2024 году - не менее 95 процентов;
обеспечение доступности для отдельных категорий граждан лекарственных препаратов, медицинских изделий, специализированных продуктов лечебного питания для детей - инвалидов по оформленным рецептам при оказании медицинской помощи в амбулаторных условиях к 2024 году до 100 процентов: к 2019 году - 98 процентов; к 2020 году - 98,5 процента; к 2021 году - 98,7 процента; к 2022 году - 99 процентов; к 2023 году - 99,5 процента; к 2024 году - 100 процентов
</t>
  </si>
  <si>
    <t>Ведомственная целевая программа "Организация обязательного медицинского страхования в Российской Федерации"</t>
  </si>
  <si>
    <t xml:space="preserve">обеспечение гарантий бесплатного оказания застрахованному лицу медицинской помощи в рамках базовой программы обязательного медицинского страхования на основе подушевого норматива финансового обеспечения базовой программы обязательного медицинского страхования до уровня 13531,4 рубля к 2024 году:
в 2019 году - 11800,2 рубля;
в 2020 году - 12696,9 рубля;
в 2021 году - 13531,4 рубля;
в 2022 году - 13531,4 рубля ;
в 2023 году - 13531,4 рубля ;
в 2024 году - 13531,4 рубля .
//обеспечение гарантий бесплатного оказания застрахованному лицу медицинской помощи в рамках базовой программы обязательного медицинского страхования на основе подушевого норматива финансового обеспечения базовой программы обязательного медицинского страхования до уровня 13531,4 рубля к 2024 году:
в 2019 году - 11800,2 рубля;
в 2020 году - 12696,9 рубля;
в 2021 году - 13531,4 рубля;
в 2022 году - 13531,4 рубля
в 2023 году - 13531,4 рубля 
в 2024 году - 13531,4 рубля
</t>
  </si>
  <si>
    <t>Цели отражены в ведомственной целевой программе "Организация оказания медицинской помощи учреждениями, подведомственными Управлению делами Президента Российской Федерации" для служебного пользования//Цели отражены в ведомственной целевой программе "Организация оказания медицинской помощи учреждениями, подведомственными Управлению делами Президента Российской Федерации" для служебного пользования
//Цели отражены в ведомственной целевой программе "Организация оказания медицинской помощи учреждениями, подведомственными Управлению делами Президента Российской Федерации" для служебного пользования//Цели отражены в ведомственной целевой программе "Организация оказания медицинской помощи учреждениями, подведомственными Управлению делами Президента Российской Федерации" для служебного пользования</t>
  </si>
  <si>
    <t>Ведомственная целевая программа "Медицинское обеспечение авиационного персонала гражданской авиации"</t>
  </si>
  <si>
    <t xml:space="preserve">выполнение плана проверок соответствия состояния здоровья требованиям федеральных авиационных правил в полном объеме лиц из числа авиационного персонала и студентов (курсантов) образовательных организаций гражданской авиации, число законченных медицинских освидетельствований:
в 2019 году - 7741 единица;
в 2020 году - 7744 единицы;
в 2021 году - 7744 единицы;
в 2022 году - 7744 единицы;
в 2023 году - 7744 единицы;
в 2024 году - 7744 единицы;
выполнение в полном объеме мероприятий по обеспечению мониторинга здоровья авиационного персонала гражданской авиации (в том числе в рамках государственного задания)
в 2019 году - 100 процентов;
в 2020 году - 100 процентов;
в 2021 году - 100 процентов;
в 2022 году - 100 процентов;
в 2023 году - 100 процентов;
в 2024 году - 100 процентов.
//выполнение плана проверок соответствия состояния здоровья требованиям федеральных авиационных правил в полном объеме лиц из числа авиационного персонала и студентов (курсантов) образовательных организаций гражданской авиации, число законченных медицинских освидетельствований:
в 2019 году - 7741 единица;
в 2020 году - 7744 единицы;
в 2021 году - 7744 единицы;
в 2022 году - 7744 единицы;
в 2023 году - 7744 единицы;
в 2024 году - 7744 единицы;
выполнение в полном объеме мероприятий по обеспечению мониторинга здоровья авиационного персонала гражданской авиации (в том числе в рамках государственного задания)
в 2019 году - 100 процентов;
в 2020 году - 100 процентов;
в 2021 году - 100 процентов;
в 2022 году - 100 процентов;
в 2023 году - 100 процентов;
в 2024 году - 100 процентов.
//выполнение плана проверок соответствия состояния здоровья требованиям федеральных авиационных правил в полном объеме лиц из числа авиационного персонала и студентов (курсантов) образовательных организаций гражданской авиации, число законченных медицинских освидетельствований:
в 2019 году - 7741 единица;
в 2020 году - 7744 единицы;
в 2021 году - 7744 единицы;
в 2022 году - 7744 единицы;
в 2023 году - 7744 единицы;
в 2024 году - 7744 единицы;
выполнение в полном объеме мероприятий по обеспечению мониторинга здоровья авиационного персонала гражданской авиации (в том числе в рамках государственного задания)
в 2019 году - 100 процентов;
в 2020 году - 100 процентов;
в 2021 году - 100 процентов;
в 2022 году - 100 процентов;
в 2023 году - 100 процентов;
в 2024 году - 100 процентов.
//выполнение плана проверок соответствия состояния здоровья требованиям федеральных авиационных правил в полном объеме лиц из числа авиационного персонала и студентов (курсантов) образовательных организаций гражданской авиации, число законченных медицинских освидетельствований:
в 2019 году - 7741 единица;
в 2020 году - 7744 единицы;
в 2021 году - 7744 единицы;
в 2022 году - 7744 единицы;
в 2023 году - 7744 единицы;
в 2024 году - 7744 единицы;
выполнение в полном объеме мероприятий по обеспечению мониторинга здоровья авиационного персонала гражданской авиации (в том числе в рамках государственного задания)
в 2019 году - 100 процентов;
в 2020 году - 100 процентов;
в 2021 году - 100 процентов;
в 2022 году - 100 процентов;
в 2023 году - 100 процентов;
в 2024 году - 100 процентов.
</t>
  </si>
  <si>
    <t>Государственная программа Российской Федерации "Развитие образования"</t>
  </si>
  <si>
    <t>Подпрограмма "Развитие среднего профессионального и дополнительного профессионального образования"</t>
  </si>
  <si>
    <t>Ведомственная целевая программа "Содействие развитию среднего профессионального образования и дополнительного профессионального образования"</t>
  </si>
  <si>
    <t>Увеличение доли трудоустроившихся в течение календарного года выпускников образовательных организаций, обучавшихся по образовательным программам среднего профессионального образования, до 59 процентов к 2025 году за счет обеспечения подготовки рабочих кадров и специалистов среднего звена, в том числе по 50 наиболее перспективным и востребованным на рынке труда профессиям и специальностям, требующим среднего профессионального образования, в том числе: в 2019 году - до 53 процентов; в 2020 году - до 54 процентов; в 2021 году - до 55 процентов; в 2022 году - до 56 процентов; в 2023 году - до 57 процентов; в 2024 году - до 58 процентов; в 2025 году - до 59 процентов</t>
  </si>
  <si>
    <t>31.12.2025</t>
  </si>
  <si>
    <t>Подпрограмма "Развитие дошкольного и общего образования"</t>
  </si>
  <si>
    <t>Ведомственная целевая программа "Развитие современных механизмов и технологий дошкольного и общего образования"</t>
  </si>
  <si>
    <t>Обеспечение условий для обновления российского общего образования, соответствующего основным требованиям современного инновационного, социально-ориентированного развития Российской Федерации, которое характеризуется в том числе увеличением численности обучающихся в общеобразовательных организациях в соответствии с федеральными государственными образовательными стандартами в общей численности обучающихся в общеобразовательных организациях до 100 процентов в 2025 году: в 2019 году - 91 процент; в 2020 году - 96 процентов; в 2021 году - 100 процентов; в 2022 году - 100 процентов; в 2023 году - 100 процентов; в 2024 году - 100 процентов; в 2025 году - 100 процентов. Увеличение до 50 процентов к 2024 году и сохранение в 2025 году доли учителей, осуществляющих непрерывное повышение уровня профессионального мастерства и компетентности, в том числе: в 2019 году - 10 процентов; в 2020 году - 20 процентов; в 2021 году - 30 процентов; в 2022 году - 40 процентов; в 2023 году - 45 процентов; в 2024 году - 50 процентов; в 2025 году - 50 процентов.</t>
  </si>
  <si>
    <t>Подпрограмма "Развитие дополнительного образования детей и реализация мероприятий молодежной политики"</t>
  </si>
  <si>
    <t>Ведомственная целевая программа "Развитие дополнительного образования детей, выявление и поддержка лиц, проявивших выдающиеся способности"</t>
  </si>
  <si>
    <t>Создание эффективной системы выявления и развития выдающихся способностей у детей, ориентированных на прорывное научно-технологическое и социально-экономическое развитие, в том числе увеличение удельного веса численности обучающихся по основным образовательным программам начального общего, основного общего и среднего общего образования, участвующих в олимпиадах и иных конкурсных мероприятиях различного уровня, в общей численности обучающихся по основным образовательным программам начального общего, основного общего и среднего общего образования до 55 процентов в 2025 году: в 2019 году - 45 процентов; в 2020 году - 47 процентов; в 2021 году - 49 процентов; в 2022 году - 51 процент; в 2023 году - 53 процента; в 2024 году - 54 процента; в 2025 году - 55 процентов.</t>
  </si>
  <si>
    <t>Ведомственная целевая программа "Развитие сферы отдыха и оздоровления детей"</t>
  </si>
  <si>
    <t xml:space="preserve">Совершенствование социально-экономических и организационных условий для организации качественного и доступного отдыха и оздоровления детей в Российской Федерации, которое характеризуется увеличением численности детей, в том числе детей, находящихся в трудной жизненной ситуации, направленных в организации отдыха детей и их оздоровления, до 8 млн. человек в 2025 году: в 2019 году - 6,8 млн. человек; в 2020 году - 7 млн. человек; в 2021 году - 7,2 млн. человек; в 2022 году - 7,5 млн. человек; в 2023 году - 7,8 млн. человек; в 2024 году - 7,9 млн. человек; в 2025 году - 8 млн. человек.
</t>
  </si>
  <si>
    <t>Ведомственная целевая программа "Поддержка молодежных инициатив и патриотического воспитания"</t>
  </si>
  <si>
    <t>Повышение уровня информированности молодых людей от 14 до 30 лет о потенциальных возможностях самореализации и саморазвития, дополнительных возможностях профессионального роста до 53% от общего числа молодежи к 2025 году: в 2019 году - 34 процента; в 2020 году - 37 процентов; в 2021 году - 40 процентов; в 2022 году - 43 процента; в 2023 году - 47 процентов; в 2024 году - 50 процентов; в 2025 году - 53 процента. Увеличение количества участников Всероссийской форумной кампании до 1000000 молодых людей в возрасте от 14 до 30 лет в 2025 году: в 2019 году - 580000 человек; в 2020 году - 650000 человек; в 2021 году - 720000 человек; в 2022 году - 790000 человек; в 2023 году - 860000 человек; в 2024 году - 930000 человек; в 2025 году - 1000000 человек. Увеличение численности молодых людей в возрасте от 14 до 30 лет, участвующих в мероприятиях по патриотическому воспитанию, до 75 процентов от общего числа молодежи в 2025 году: в 2019 году - 45 процентов; в 2020 году - 50 процентов; в 2021 году - 55 процентов; в 2022 году - 60 процентов; в 2023 году - 65 процентов; в 2024 году - 70 процентов; в 2025 году - 75 процентов.</t>
  </si>
  <si>
    <t>Подпрограмма "Совершенствование управления системой образования"</t>
  </si>
  <si>
    <t>Ведомственная целевая программа "Качество образования"</t>
  </si>
  <si>
    <t>Применение и развитие технологий и методик работы с результатами мониторинга системы образования в части оценки качества общего образования всеми субъектами Российской Федерации: в 2019 году - 8 субъектов Российской Федерации; в 2020 году - 17 субъектов Российской Федерации; в 2021 году - 29 субъектов Российской Федерации; в 2022 году - 46 субъектов Российской Федерации; в 2023 году - 63 субъекта Российской Федерации; в 2024 году - 72 субъекта Российской Федерации; в 2025 году - 85 субъектов Российской Федерации. Реализация в полном объеме контрольно-надзорных функций в сфере образования в отношении органов государственной власти субъектов Российской Федерации в соответствии с постановлением Правительства Российской Федерации от 28 июля 2018 г. N 885 "Об утверждении Положения о Федеральной службе по надзору в сфере образования и науки и признании утратившими силу некоторых актов Правительства Российской Федерации": в 2019 году - 100 процентов; в 2020 году - 100 процентов; в 2021 году - 100 процентов; в 2022 году - 100 процентов; в 2023 году - 100 процентов; в 2024 году - 100 процентов; в 2025 году - 100 процентов.</t>
  </si>
  <si>
    <t>Ведомственная целевая программа "Поддержка инноваций в области развития и мониторинга системы образования, обеспечение эффективности конкурсных механизмов реализации программных мероприятий в сфере образования"</t>
  </si>
  <si>
    <t>Обеспечение ежегодной поддержки не менее 20 стратегических инициатив и инновационных разработок, направленных на развитие региональных и муниципальных систем по вопросам развития и мониторинга системы образования, охват не менее 400 участников мероприятий в рамках поддержки лидеров из числа детей и подростков для создания стартовых возможностей в отечественной науке и экономике, ежегодное проведение 12 широкомасштабных социологических обследований - опросов в рамках мониторинга экономики образования. Обеспечение экспертно-организационным и информационно-техническим сопровождением 100 процентов закупок и заключенных государственных контрактов по итогам проведенных закупок при реализации программных мероприятий в сфере образования, выполняемых Минпросвещения России в рамках Государственной программы Российской Федерации "Развитие образования". Обеспечение учебно-программного и учебно-методического сопровождения подготовки и повышения квалификации специалистов морского и речного транспорта к 2025 году по 21 профессиональному стандарту, 3 федеральным государственным образовательным стандартам и разработки 70 учебно-методических пособий для обеспечения выполнения Международной конвенции о подготовке и дипломировании моряков и несении вахты при подготовке специалистов плавательного состава судов, в том числе: в 2019 году - 10 учебно-методических пособий; в 2020 году - 20 учебно-методических пособий; в 2021 году - 30 учебно-методических пособий; в 2022 году - 40 учебно-методических пособий; в 2023 году - 50 учебно-методических пособий; в 2024 году - 60 учебно-методических пособий; в 2025 году - 70 учебно-методических пособий.</t>
  </si>
  <si>
    <t xml:space="preserve">Обеспечение эффективного выполнения полномочий, возложенных на Минпросвещения России, в том числе технического и оперативного сопровождения реализации государственной программы Российской Федерации "Развитие образования".
</t>
  </si>
  <si>
    <t>Ведомственная целевая программа "Научно-методическое, методическое и кадровое обеспечение обучения русскому языку и языкам народов Российской Федерации"</t>
  </si>
  <si>
    <t>Совершенствование условий для развития применения русского языка как основы гражданской самоидентичности народов Российской Федерации, которое характеризуется увеличением численности педагогических работников, прошедших повышение квалификации и переподготовку по вопросам совершенствования норм и условий полноценного функционирования и развития русского языка как государственного языка Российской Федерации до 173000 человек в 2025 году: в 2019 году - 65000 человек; в 2020 году - 83000 человек; в 2021 году - 101000 человек; в 2022 году - 119000 человек; в 2023 году - 137000 человек; в 2024 году - 155000 человек; в 2025 году - 173000 человек. Распространение и укрепление русского языка и образования на русском языке в государствах - участниках Содружества Независимых Государств, Республиках Абхазия и Южная Осетия, а также в иностранных государствах, которое характеризуется увеличением количества проведенных комплексных мероприятий, направленных на расширение присутствия русского языка и образования на русском языке до 768 единиц в 2025 году: в 2019 году - 462 единицы; в 2020 году - 518 единиц; в 2021 году - 568 единиц; в 2022 году - 618 единиц; в 2023 году - 668 единиц; в 2024 году - 718 единиц; в 2025 году - 768 единиц. Продвижение русского языка как основы культурного и образовательного единства народов Российской Федерации, эффективного международного общения, которое характеризуется увеличением количества проведенных мероприятий просветительского, образовательного и научно-методического характера, направленных на популяризацию русского языка, российского образования и культуры (в том числе олимпиад и конкурсов по русскому языку) до 651 единицы в 2025 году: в 2019 году - 393 единицы; в 2020 году - 436 единиц; в 2021 году - 479 единиц; в 2022 году - 522 единицы; в 2023 году - 565 единиц; в 2024 году - 608 единиц; в 2025 году - 651 единица.</t>
  </si>
  <si>
    <t>Государственная программа Российской Федерации "Социальная поддержка граждан"</t>
  </si>
  <si>
    <t>Подпрограмма "Обеспечение мер социальной поддержки отдельных категорий граждан"</t>
  </si>
  <si>
    <t>Основное мероприятие "Оказание мер государственной поддержки гражданам, подвергшимся воздействию радиации вследствие радиационных аварий и ядерных испытаний"</t>
  </si>
  <si>
    <t>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предоставлены//выплата в полном объеме пособий по уходу за ребенком гражданам, подвергшимся воздействию радиации вследствие радиационных аварий и ядерных испытаний осуществлена//меры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предоставлены//меры государственной поддержки гражданам, подвергшимся воздействию радиации вследствие радиационных аварий и ядерных испытаний, в установленные сроки и в установленных объемах предоставлены</t>
  </si>
  <si>
    <t>01.01.2013</t>
  </si>
  <si>
    <t>Основное мероприятие "Предоставление мер государственной поддержки Героям Советского Союза, Героям Российской Федерации и полным кавалерам ордена Славы"</t>
  </si>
  <si>
    <t>меры государственной поддержки Героям Советского Союза, Героям Российской Федерации и полным кавалерам ордена Славы в установленные сроки и в установленных объемах предоставлены</t>
  </si>
  <si>
    <t>Основное мероприятие "Предоставление мер государственной поддержки Героям Социалистического Труда, Героям Труда Российской Федерации и полным кавалерам ордена Трудовой Славы"</t>
  </si>
  <si>
    <t>меры государственной поддержки Героям Социалистического Труда, Героям Труда Российской Федерации и полным кавалерам ордена Трудовой Славы в установленные сроки и в установленных объемах предоставлены</t>
  </si>
  <si>
    <t>Основное мероприятие "Оказание мер социальной поддержки ветеранам Великой Отечественной войны и боевых действий"</t>
  </si>
  <si>
    <t>меры социальной поддержки ветеранам Великой Отечественной войны и боевых действий предоставлены</t>
  </si>
  <si>
    <t>Основное мероприятие "Оказание мер государственной поддержки инвалидам"</t>
  </si>
  <si>
    <t>ежемесячная денежная выплата инвалидам, дополнительное ежемесячное материальное обеспечение инвалидов вследствие военной травмы в установленные сроки и в установленных объемах предоставлены</t>
  </si>
  <si>
    <t>Основное мероприятие "Предоставление отдельным категориям граждан государственной социальной помощи в виде набора социальных услуг в части санаторно-курортного лечения, проезда к месту лечения и обратно, а также проезда на железнодорожном транспорте пригородного сообщения"</t>
  </si>
  <si>
    <t>межбюджетные трансферты бюджету Фонда социального страхования Российской Федерации на оказание государственной социальной помощи в виде набора социальных услуг отдельным категориям граждан в части оплаты санаторно-курортного лечения, а также проезда на междугородном транспорте к месту лечения и обратно, проезда на транспорте пригородного сообщения за счет средств федерального бюджета в отчетном квартале предоставлены</t>
  </si>
  <si>
    <t>Основное мероприятие "Предоставление социальных доплат к пенсии"</t>
  </si>
  <si>
    <t>региональная социальная доплата и федеральная социальная доплата к пенсии в установленные сроки и в установленном объеме предоставлены</t>
  </si>
  <si>
    <t>Основное мероприятие "Оказание мер социальной поддержки по оплате жилищно-коммунальных услуг отдельным категориям граждан"</t>
  </si>
  <si>
    <t>предоставление компенсаций на оплату жилищно-коммунальных услуг и взноса на капитальный ремонт общего имущества в многоквартирном доме отдельным категориям граждан обеспечено</t>
  </si>
  <si>
    <t>Основное мероприятие "Оказание мер государственной поддержки лицам, ходатайствующим о признании их беженцами или вынужденными переселенцами, а также прибывшим с ними членам их семей"</t>
  </si>
  <si>
    <t>пособия лицам, ходатайствующим о признании их беженцами и вынужденными переселенцами на территории Российской Федерации, и прибывшим с ними членам их семей в установленные сроки и в установленных объемах предоставлены</t>
  </si>
  <si>
    <t>Основное мероприятие "Оказание мер государственной поддержки гражданам, пострадавшим в результате разрешения кризиса в Чеченской Республике и покинувшим ее безвозвратно"</t>
  </si>
  <si>
    <t>компенсация за утраченное жилье и (или) имущество гражданам, пострадавшим в результате разрешения кризиса в Чеченской Республике и покинувшим ее безвозвратно в установленные сроки и в установленных объемах предоставлена</t>
  </si>
  <si>
    <t>Основное мероприятие "Оказание мер социальной поддержки лицам, награжденным нагрудным знаком "Почетный донор России"</t>
  </si>
  <si>
    <t>обеспечено предоставление в установленном порядке субъектам Российской Федерации субвенций на осуществление ежегодной денежной выплаты лицам, награжденным нагрудным знаком "Почетный донор России"</t>
  </si>
  <si>
    <t>Основное мероприятие "Оказание мер социальной поддержки гражданам при возникновении поствакцинальных осложнений"</t>
  </si>
  <si>
    <t xml:space="preserve">Финансирование выплаты государственного единовременного пособия и ежемесячной денежной компенсации гражданам при возникновении поствакцинальных осложнений обеспечено
</t>
  </si>
  <si>
    <t>Основное мероприятие "Осуществление компенсационных выплат реабилитированным лицам"</t>
  </si>
  <si>
    <t>финансирование единовременных денежных компенсаций реабилитированным лицам обеспечено</t>
  </si>
  <si>
    <t>Основное мероприятие "Оказание поддержки в связи с погребением умерших"</t>
  </si>
  <si>
    <t xml:space="preserve">выплата социальных пособий на погребение обеспечена
</t>
  </si>
  <si>
    <t>31.12.2013</t>
  </si>
  <si>
    <t>Основное мероприятие "Оказание мер государственной поддержки отдельным категориям государственных служащих, а также уволенным из их числа и членам их семей"</t>
  </si>
  <si>
    <t>комплексное обеспечение ядерной и радиационной безопасности в Российской Федерации путем решения ключевых проблем ядерного наследия//меры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предоставлены//меры государственной поддержки отдельным категориям государственных служащих, а также уволенным из их числа и членам их семей в установленные сроки и в установленных объемах предоставлены</t>
  </si>
  <si>
    <t>Основное мероприятие "Оказание мер государственной поддержки отдельным категориям государственных служащих, гражданам в связи с исполнением обязанностей военной службы по призыву, получившим увечье или иное повреждение здоровья, а также членам их семей"</t>
  </si>
  <si>
    <t>меры государственной поддержки отдельным категориям государственных служащих, гражданам в связи с исполнением обязанностей военной службы по призыву, получившим увечье или иное повреждение здоровья, а также членам их семей в установленные сроки и в установленных объемах предоставлены</t>
  </si>
  <si>
    <t>Основное мероприятие "Оказание государственной поддержки членам семей лиц, погибших при осуществлении мероприятий по борьбе с терроризмом, а также лицам, получившим увечья при осуществлении указанных мероприятий, повлекшие наступление инвалидности"</t>
  </si>
  <si>
    <t>единовременное пособие членам семей (лицам, находившимся на их иждивении) лиц, погибших при осуществлении мероприятий по борьбе с терроризмом, а также лицам, получившим увечья при осуществлении мероприятий по борьбе с терроризмом, повлекшие наступление инвалидности, в установленные сроки и в установленных объемах предоставлены
(в ред. Постановления Правительства РФ от 28.03.2019 N 346)
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
//единовременное пособие членам семей (лицам, находившимся на их иждивении) лиц, погибших при осуществлении мероприятий по борьбе с терроризмом, а также лицам, получившим увечья при осуществлении мероприятий по борьбе с терроризмом, повлекшие наступление инвалидности, в установленные сроки и в установленных объемах предоставлены</t>
  </si>
  <si>
    <t>Основное мероприятие "Осуществление компенсационных выплат лицам, осуществляющим уход за нетрудоспособными гражданами и детьми-инвалидами"</t>
  </si>
  <si>
    <t>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произведены//Осуществление компенсационных выплат лицам, осуществляющим уход за нетрудоспособными гражданами и детьми-инвалидами//компенсационные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t>
  </si>
  <si>
    <t>Основное мероприятие "Выплата дополнительного материального обеспечения гражданам за выдающиеся достижения и особые заслуги перед Российской Федерацией"</t>
  </si>
  <si>
    <t>выплата дополнительного материального обеспечения гражданам за выдающиеся достижения и особые заслуги перед Российской Федерацией в установленные сроки и в установленных объемах произведена</t>
  </si>
  <si>
    <t>Основное мероприятие "Страховое обеспечение по обязательному социальному страхованию от несчастных случаев на производстве и профессиональных заболеваний"</t>
  </si>
  <si>
    <t>выплаты по обязательному социальному страхованию от несчастных случаев на производстве и профессиональных заболеваний в соответствии с Федеральным законом "Об обязательном социальном страховании от несчастных случаев на производстве и профессиональных заболеваний" в установленные сроки и в установленных объемах осуществлены</t>
  </si>
  <si>
    <t>01.01.2015</t>
  </si>
  <si>
    <t>Основное мероприятие "Предоставление отдельным категориям граждан государственной социальной помощи на основании социального контракта"</t>
  </si>
  <si>
    <t>увеличение доли малоимущих граждан, получивших государственную социальную помощь на основании социального контракта, в общей численности малоимущих граждан, получивших государственную социальную помощь, до 16,9 процента к 2024 году, доли граждан, преодолевших трудную жизненную ситуацию, в общей численности получателей государственной социальной помощи на основании социального контракта до 56,4 процента к 2024 году</t>
  </si>
  <si>
    <t>Основное мероприятие "Обеспечение обязательного социального страхования на случай временной нетрудоспособности и в связи с материнством"</t>
  </si>
  <si>
    <t>компенсация выпадающих доходов бюджету Фонда социального страхования Российской Федерации в связи с установлением пониженных тарифов страховых взносов предоставлена</t>
  </si>
  <si>
    <t>01.01.2017</t>
  </si>
  <si>
    <t>Основное мероприятие "Предоставление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t>
  </si>
  <si>
    <t>пособия по обязательному социальному страхованию на случай временной нетрудоспособности отдельным категориям граждан в связи с зачетом в страховой стаж нестраховых периодов в установленные сроки и в установленных объемах предоставлены</t>
  </si>
  <si>
    <t>01.01.2014</t>
  </si>
  <si>
    <t>Подпрограмма "Модернизация и развитие социального обслуживания населения"</t>
  </si>
  <si>
    <t>Основное мероприятие "Обеспечение деятельности учреждений социального обслуживания граждан"</t>
  </si>
  <si>
    <t>запланированные показатели государственных заданий на оказание социальных услуг выполнены</t>
  </si>
  <si>
    <t>Основное мероприятие "Поощрение победителей Всероссийского конкурса на звание "Лучший работник учреждений социального обслуживания"</t>
  </si>
  <si>
    <t>поднятие престижа профессии социальный работник, введение механизма материального стимулирования социальных работников, привлечение в указанную профессию молодых кадров</t>
  </si>
  <si>
    <t>Основное мероприятие "Привлечение в сферу социального обслуживания населения бизнеса и социально ориентированных некоммерческих организаций, благотворителей и добровольцев"</t>
  </si>
  <si>
    <t xml:space="preserve">увеличение удельного веса учреждений социального обслуживания, основанных на иных формах собственности, в общем количестве учреждений социального обслуживания всех форм собственности до 10 процентов к 2020 году.
Увеличение количества новых зданий стационарных учреждений социального обслуживания населения, построенных в рамках реализации инвестиционных проектов в соответствии с соглашениями о государственно-частном партнерстве, концессионными соглашениями и (или) иными соглашениями (договорами), заключенными в целях реализации инвестиционных проектов
</t>
  </si>
  <si>
    <t>Основное мероприятие "Оказание финансовой поддержки бюджетам субъектов Российской Федерации на осуществление мероприятий по укреплению материально-технической базы организаций социального обслуживания"</t>
  </si>
  <si>
    <t>уменьшение удельного веса зданий стационарных учреждений социального обслуживания граждан пожилого возраста, инвалидов (взрослых и детей) и лиц без определенного места жительства и занятий, требующих реконструкции, зданий, находящихся в аварийном состоянии, и ветхих зданий в общем количестве зданий стационарных учреждений социального обслуживания граждан пожилого возраста, инвалидов (взрослых и детей) и лиц без определенного места жительства и занятий</t>
  </si>
  <si>
    <t>Подпрограмма "Обеспечение государственной поддержки семей, имеющих детей"</t>
  </si>
  <si>
    <t>Основное мероприятие "Оказание мер государственной поддержки в связи с беременностью и родами, а также гражданам, имеющим детей"</t>
  </si>
  <si>
    <t>преодоление негативных демографических тенденций, стабилизация численности населения и создание условий для ее роста. Своевременное и в полном объеме обеспечение пособиями и компенсациями беременных женщин, а также граждан, имеющих детей, в соответствии с законодательством Российской Федерации</t>
  </si>
  <si>
    <t>Основное мероприятие "Обеспечение выплаты пособий по уходу за ребенком гражданам, подвергшимся воздействию радиации вследствие радиационных аварий и ядерных испытаний"</t>
  </si>
  <si>
    <t>выплата в полном объеме пособий по уходу за ребенком гражданам, подвергшимся воздействию радиации вследствие радиационных аварий и ядерных испытаний осуществлена</t>
  </si>
  <si>
    <t>Основное мероприятие "Обеспечение выплаты ежемесячных пособий и пособий (компенсаций) на проведение летнего оздоровительного отдыха детям погибших (умерших) военнослужащих и сотрудников некоторых федеральных органов государственной власти"</t>
  </si>
  <si>
    <t>выплата ежемесячного пособия в целях проведения летнего оздоровительного отдыха детям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операций//компенсационные выплаты лицам, осуществляющим уход за нетрудоспособными гражданами и детьми-инвалидами, в установленные сроки и в установленных объемах произведены//выплата ежемесячного пособия в целях проведения летнего оздоровительного отдыха детям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</si>
  <si>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Основное мероприятие "Оказание социальной поддержки многодетным семьям"</t>
  </si>
  <si>
    <t>предоставления мер социальной поддержки многодетным семьям. Преодоление негативных демографических тенденций, стабилизация численности населения и создание условий для ее роста</t>
  </si>
  <si>
    <t>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</si>
  <si>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 xml:space="preserve">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Поддержка программы чтения с экрана включена.//повышение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Поддержка программы чтения с экрана включена.//повышение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Поддержка программы чтения с экрана включена.//повышение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//повышение материального обеспечения детей-сирот и детей, оставшихся без попечения родителей.
Предоставление в период 2014 - 2024 годов не менее 89113 благоустроенных жилых помещений специализированного жилищного фонда по договорам найма специализированных жилых помещений детям-сиротам и детям, оставшимся без попечения родителей, лицам из числа детей-сирот и детей, оставшихся без попечения родителей.
Увеличение доли детей-сирот и детей, оставшихся без попечения родителей, переданных на воспитание в семьи, в общей численности детей-сирот и детей, оставшихся без попечения родителей до 88,95 процента к 2024 году
</t>
  </si>
  <si>
    <t>Основное мероприятие "Оказание поддержки детям, оказавшимся в трудной жизненной ситуации"</t>
  </si>
  <si>
    <t>создание специализированных служб для семей, воспитывающих детей-инвалидов и детей с ограниченными возможностями здоровья, специализированных служб для детей, вступивших в конфликт с законом, и их семей. Обеспечение работы специализированных интернет-сайтов, способствующих профилактике жестокого обращения с детьми, семейного неблагополучия, сиротства детей, а также семейному устройству детей-сирот и детей, оставшихся без попечения родителей. Обеспечение получения экстренной психологической помощи по общероссийскому детскому телефону доверия. Проведение мероприятий по усилению пропаганды ненасильственного воспитания детей</t>
  </si>
  <si>
    <t>Подпрограмма "Повышение эффективности государственной поддержки социально ориентированных некоммерческих организаций"</t>
  </si>
  <si>
    <t>Основное мероприятие "Оказание государственной поддержки общественным и иным некоммерческим организациям"</t>
  </si>
  <si>
    <t>реализация региональных программ поддержки социально ориентированных некоммерческих организаций, финансовая поддержка социально ориентированных некоммерческих организаций, повышение доступности и качества услуг в сфере социального обслуживания за счет расширения участия социально ориентированных некоммерческих организаций в реализации соответствующих программ субъектов Российской Федерации</t>
  </si>
  <si>
    <t>Основное мероприятие "Организация статистических обследований и переписей"</t>
  </si>
  <si>
    <t>итоги статистических обследований деятельности социально ориентированных некоммерческих организаций подведены</t>
  </si>
  <si>
    <t>01.01.2016</t>
  </si>
  <si>
    <t>Основное мероприятие "Обеспечение деятельности Комитета ветеранов подразделений особого риска Российской Федерации"</t>
  </si>
  <si>
    <t>финансовое обеспечение деятельности Комитета ветеранов подразделений особого риска Российской Федерации</t>
  </si>
  <si>
    <t>Подпрограмма "Старшее поколение"</t>
  </si>
  <si>
    <t>Основное мероприятие "Оказание мер социальной поддержки пенсионерам в районах Крайнего Севера и приравненных к ним местностях"</t>
  </si>
  <si>
    <t>меры социальной поддержки неработающим пенсионерам, являющимся получателями страховых пенсий по старости и по инвалидности, проживающих в районах Крайнего Севера и приравненных к ним местностях оказаны своевременно и в полном объеме</t>
  </si>
  <si>
    <t>Подпрограмма "Обеспечение условий реализации государственной программы Российской Федерации "Социальная поддержка граждан"</t>
  </si>
  <si>
    <t>Основное мероприятие "Научно-методическое и материальное обеспечение государственной политики в сфере социальной поддержки населения"</t>
  </si>
  <si>
    <t>обеспечение научно-методической и международной деятельности, а также выполнение полномочий Фонда социального страхования Российской Федерации</t>
  </si>
  <si>
    <t>Основное мероприятие "Развитие международного сотрудничества в сфере социальной поддержки граждан"</t>
  </si>
  <si>
    <t>обеспечение участия Российской Федерации в деятельности Международной ассоциации социального обеспечения (МАСО)</t>
  </si>
  <si>
    <t>01.01.2018</t>
  </si>
  <si>
    <t>Государственная программа Российской Федерации "Содействие занятости населения"</t>
  </si>
  <si>
    <t>Подпрограмма "Активная политика занятости населения и социальная поддержка безработных граждан"</t>
  </si>
  <si>
    <t>Основное мероприятие "Реализация мероприятий активной политики занятости населения, включая мероприятия по развитию трудовой мобильности"</t>
  </si>
  <si>
    <t xml:space="preserve">Предотвращение роста напряженности на рынке труда, поддержание социальной стабильности в обществе;
минимизация уровней общей и регистрируемой безработицы;
развитие государственной службы занятости населения как эффективного посредника между работодателями и гражданами, ищущими работу;
повышение мобильности трудовых ресурсов;
обеспечение потребности экономики в рабочей силе;
повышение доступности информации о рынке труда, профессиях, вакансиях, возможностях обучения для выпускников и обучающихся;
повышение эффективности ярмарок вакансий и других услуг в сфере занятости, направленных на трудоустройство молодежи
</t>
  </si>
  <si>
    <t>Основное мероприятие "Мониторинг состояния рынка труда"</t>
  </si>
  <si>
    <t xml:space="preserve">Информационно-аналитическое обеспечение принятия управленческих решений
</t>
  </si>
  <si>
    <t>Основное мероприятие "Социальные выплаты безработным гражданам и оптимизация критериев назначения и размеров пособия по безработице"</t>
  </si>
  <si>
    <t xml:space="preserve">Поддержание доходов безработных граждан; обеспечение адресности и повышение уровня социальной поддержки, предоставляемой безработным гражданам
</t>
  </si>
  <si>
    <t>Подпрограмма "Развитие институтов рынка труда"</t>
  </si>
  <si>
    <t>Основное мероприятие "Создание условий для улучшения качества рабочей силы и развития ее профессиональной мобильности"</t>
  </si>
  <si>
    <t xml:space="preserve">Создание условий для улучшения качества рабочей силы и развития ее профессиональной мобильности;
организация разработки и актуализации профессиональных стандартов для коммерческих организаций и бюджетной сферы в соответствии с потребностями рынка труда
</t>
  </si>
  <si>
    <t>Основное мероприятие "Развитие социального партнерства"</t>
  </si>
  <si>
    <t>Совместное решение проблем, возникающих в социально-трудовой сфере, сторонами социального партнерства; информирование работников о новом законодательстве в данной сфере</t>
  </si>
  <si>
    <t>Основное мероприятие "Надзор и контроль в сфере труда и занятости"</t>
  </si>
  <si>
    <t xml:space="preserve">Повышение качества и доступности предоставляемых государственных услуг;
снижение случаев нарушений трудовых прав граждан
</t>
  </si>
  <si>
    <t>Подпрограмма "Безопасный труд"</t>
  </si>
  <si>
    <t>Основное мероприятие "Разработка и внедрение предупредительной модели управления охраной труда"</t>
  </si>
  <si>
    <t xml:space="preserve">Ежегодно проводится мониторинг внедрения организациями систем управления охраной труда (с участием органов исполнительной власти субъектов Российской Федерации);
по итогам мониторинга формируется портфель наилучших доступных решений (по видам экономической деятельности) в сфере созданных систем управления охраной труда;
разработана система непрерывного обучения на всем протяжении трудовой деятельности работников и работодателей по охране труда, в том числе модуль дистанционного обучения и проверки знаний (тестирования);
проведена общественно-просветительская кампания "Россия за нулевой травматизм"
</t>
  </si>
  <si>
    <t>Основное мероприятие "Модернизация инструментов государственного управления охраной труда"</t>
  </si>
  <si>
    <t xml:space="preserve">Разработаны стандарты выявления и оценки уровня профессионального риска жизни и здоровья работников в зависимости от набора вредных и (или) опасных факторов производственной среды и трудового процесса на рабочих местах, установленных по результатам специальной оценки условий труда; актуализированы (разработаны) и аттестованы методы (методики) измерений и исследований факторов производственной среды и трудового процесса; сформированы предложения по совершенствованию законодательства с целью стимулирования работодателей к внедрению предупредительного подхода в охране труда; подготовлены предложения по внесению изменений в действующие законодательные и иные нормативные правовые акты в целях исключения дублирования требований к сохранению жизни и здоровья работников на производстве
</t>
  </si>
  <si>
    <t>31.12.2030</t>
  </si>
  <si>
    <t>31.12.2021</t>
  </si>
  <si>
    <t>Основное мероприятие "Обеспечение реализации подпрограммы"</t>
  </si>
  <si>
    <t>01.01.2012</t>
  </si>
  <si>
    <t>Государственная программа Российской Федерации "Развитие физической культуры и спорта"</t>
  </si>
  <si>
    <t>Подпрограмма "Развитие физической культуры и массового спорта"</t>
  </si>
  <si>
    <t>Основное мероприятие "Физическое воспитание и обеспечение организации и проведения физкультурных мероприятий и массовых спортивных мероприятий"</t>
  </si>
  <si>
    <t>проведение мероприятий по физическому воспитанию населения, в том числе проживающего в сельской местности:
 учащихся, студентов, взрослого населения и лиц с ограниченными возможностями здоровья и инвалидов, и привлечению их к систематическим занятиям физической культурой и спортом;
 организация и проведение межрегиональных, всероссийских и международных массовых физкультурных и спортивных мероприятий среди различных категорий и групп населения;
 обеспечение физкультурных и массовых спортивных мероприятий, включенных в Единый календарный план межрегиональных, всероссийских и международных физкультурных мероприятий и спортивных мероприятий</t>
  </si>
  <si>
    <t xml:space="preserve">1.01.2013 </t>
  </si>
  <si>
    <t>Основное мероприятие "Совершенствование спортивной инфраструктуры и материально-технической базы для занятий физической культурой и массовым спортом, в том числе на территории Дальнего Востока"</t>
  </si>
  <si>
    <t>создание материально-технических условий для проведения физкультурно-оздоровительных и зрелищных мероприятий и оказание физкультурно-оздоровительных услуг населению;
 оснащение физкультурно-оздоровительных объектов спортивно-технологическим оборудованием для занятий физической культурой и спортом;
 расширение сети физкультурно-спортивных сооружений и объектов, в том числе за счет стимулирования их строительства путем возмещения части затрат на уплату процентов по кредитам и займам, полученным юридическими лицами на реализацию соответствующих инвестиционных проектов в сфере физической культуры и спорта//Совершенствование спортивной инфраструктуры и материально-технической базы для занятий физической культурой и массовым спортом</t>
  </si>
  <si>
    <t>1.01.2013</t>
  </si>
  <si>
    <t>Основное мероприятие "Организация и проведение научно-исследовательских и опытно-конструкторских работ в сфере физической культуры и массового спорта"</t>
  </si>
  <si>
    <t>разработка методических рекомендаций по организации физкультурно-спортивной работы для различных категорий и групп населения</t>
  </si>
  <si>
    <t>Подпрограмма "Развитие спорта высших достижений и системы подготовки спортивного резерва"</t>
  </si>
  <si>
    <t>Основное мероприятие "Проведение спортивных мероприятий, обеспечение подготовки спортсменов высокого класса, материально-техническое обеспечение спортивных сборных команд Российской Федерации"</t>
  </si>
  <si>
    <t>обеспечение подготовки и участия спортивных сборных команд Российской Федерации по видам спорта, входящим в программы Олимпийских игр, в чемпионатах и кубках мира, чемпионатах и кубках Европы, первенствах мира и Европы и иных международных спортивных соревнованиях;
 обеспечение спортивных сборных команд Российской Федерации спортивной экипировкой, спортивным оборудованием и инвентарем;
 оптимизация системы медицинского и медико-биологического обеспечения подготовки спортсменов высокого класса и спортивного резерва</t>
  </si>
  <si>
    <t>Основное мероприятие "Развитие системы подготовки спортивного резерва"</t>
  </si>
  <si>
    <t>реализация мер по совершенствованию деятельности и развитию сети детско-юношеских спортивных школ и специализированных детско-юношеских школ олимпийского резерва, детско-юношеских спортивных адаптивных школ, детско-юношеских спортивных адаптивных специализированных школ</t>
  </si>
  <si>
    <t>Основное мероприятие "Антидопинговое обеспечение спортивных сборных команд Российской Федерации"</t>
  </si>
  <si>
    <t>финансирование реализации мероприятий по допинговому контролю спортсменов, включая планирование проведения тестов, взятие проб, их хранение, транспортировку, лабораторный анализ проб, послетестовые процедуры, разработка и реализация мероприятий по антидопинговой пропаганде, в том числе в средствах массовой информации, разработка и реализация информационно-обучающих антидопинговых программ и мероприятий, включая проведение семинаров и конференций (в том числе подготовка и издание учебно-методических материалов и пособий) для различных целевых аудиторий, проведение расследований на основании показателей паспорта крови спортсмена, аналитических и иных данных, указывающих на возможные нарушения антидопинговых правил, осуществление международного сотрудничества в области предотвращения допинга в спорте и борьбе с ним, а также проведение соответствующих слушаний и апелляций в соответствии с требованиями и международными стандартами Всемирного антидопингового агентства</t>
  </si>
  <si>
    <t>Основное мероприятие "Подготовка и проведение особо значимых международных спортивных мероприятий, проводимых на территории Российской Федерации"</t>
  </si>
  <si>
    <t>мероприятия по обеспечению комплекса мер по подготовке и проведению XXIX Всемирной зимней универсиады 2019 года в г. Красноярске;
 мероприятия по подготовке и проведению в Российской Федерации чемпионата Европы по футболу UEFA 2020 года;
 участие в создании материально-технических условий для организации и проведения на территории Российской Федерации чемпионатов и кубков мира, чемпионатов и кубков Европы и иных международных спортивных соревнований, соответствующих требованиям международных спортивных организаций, в том числе с использованием информационных систем, созданных при подготовке особо значимых международных спортивных мероприятий</t>
  </si>
  <si>
    <t>Основное мероприятие "Научно-методическое и информационно-аналитическое обеспечение подготовки спортсменов высокого класса, спортивных сборных команд Российской Федерации и спортивного резерва"</t>
  </si>
  <si>
    <t>формирование условий для повышения качества подготовки спортсменов высокого класса и спортивных сборных команд Российской Федерации за счет улучшения научно-методического обеспечения тренировочного процесса</t>
  </si>
  <si>
    <t>Основное мероприятие "Организация и проведение научно-исследовательских и опытно-конструкторских работ в сфере спорта высших достижений"</t>
  </si>
  <si>
    <t>разработка современных технологий, способствующих росту спортивного мастерства спортсменов спортивных сборных команд России;
 разработка и внедрение методик подготовки и отбора спортсменов сборной команды России, в том числе паралимпийских и сурдлимпийских команд</t>
  </si>
  <si>
    <t>Основное мероприятие "Совершенствование спортивной инфраструктуры для подготовки сборных команд Российской Федерации"</t>
  </si>
  <si>
    <t>строительство и реконструкция федеральных спортивно-тренировочных центров для подготовки спортсменов сборных команд Российской Федерации;
 строительство и реконструкция инфраструктуры для подготовки спортсменов сборных команд Российской Федерации и тренеров в спортивных центрах на базе подведомственных образовательных организаций</t>
  </si>
  <si>
    <t>1 января 2019 г.</t>
  </si>
  <si>
    <t>31 декабря 2024 г.</t>
  </si>
  <si>
    <t>Подпрограмма "Управление развитием отрасли физической культуры и спорта"</t>
  </si>
  <si>
    <t>Основное мероприятие "Реализация государственной политики в сфере физической культуры и спорта"</t>
  </si>
  <si>
    <t>мероприятия по обеспечению деятельности и выполнению функций Минспорта России по выработке и реализации государственной политики и нормативному правовому регулированию в сфере физической культуры и спорта, а также по управлению государственным имуществом в сфере физической культуры и спорта</t>
  </si>
  <si>
    <t>1 января 2013 г.</t>
  </si>
  <si>
    <t>Основное мероприятие "Развитие международного спортивного сотрудничества"</t>
  </si>
  <si>
    <t>расширение сотрудничества с международными спортивными организациями и применение передового международного опыта при подготовке спортивных сборных команд Российской Федерации</t>
  </si>
  <si>
    <t>Основное мероприятие "Внедрение современных информационно-коммуникационных технологий в сферу физической культуры и спорта"</t>
  </si>
  <si>
    <t>Федеральная целевая программа "Развитие физической культуры и спорта в Российской Федерации на 2016 - 2020 годы"</t>
  </si>
  <si>
    <t>Иные мероприятия федеральной целевой программы</t>
  </si>
  <si>
    <t>Подпрограмма "Развитие хоккея в Российской Федерации"</t>
  </si>
  <si>
    <t>Основное мероприятие "Совершенствование спортивной инфраструктуры и материально-технической базы для развития хоккея"</t>
  </si>
  <si>
    <t>строительство и реконструкция спортивной инфраструктуры для занятий хоккеем;
 строительство тренировочных катков для подведомственных высших учебных заведений;
 закупка специального оборудования для профильных спортивных школ по хоккею</t>
  </si>
  <si>
    <t>Основное мероприятие "Организация и проведение физкультурных, спортивных и тренировочных мероприятий по хоккею"</t>
  </si>
  <si>
    <t>организация и проведение физкультурных и массовых спортивных мероприятий среди различных групп населения;
 организация и проведение всероссийских и межрегиональных спортивных и тренировочных мероприятий, обеспечивающих подготовку спортсменов сборной команды Российской Федерации по хоккею для успешного участия в крупнейших международных соревнованиях</t>
  </si>
  <si>
    <t>Подпрограмма "Развитие футбола в Российской Федерации"</t>
  </si>
  <si>
    <t>Основное мероприятие "Развитие и модернизация инфраструктуры и материально-технической базы для развития футбола"</t>
  </si>
  <si>
    <t>адаптация для постсоревновательного использования и обеспечение эксплуатации стадионов, адаптация для постсоревновательного использования и дооборудование тренировочных площадок, строительство с использованием механизмов государственно-частного партнерства федерального центра подготовки сборных команд Российской Федерации по футболу</t>
  </si>
  <si>
    <t>Основное мероприятие "Развитие детско-юношеского и женского футбола"</t>
  </si>
  <si>
    <t>организация и обеспечение функционирования детских футбольных центров, создание материально-технических условий для обеспечения функционирования женских футбольных клубов, включая проведение тренировочных мероприятий</t>
  </si>
  <si>
    <t>Государственная программа Российской Федерации "Экономическое развитие и инновационная экономика"</t>
  </si>
  <si>
    <t>Подпрограмма "Инвестиционный климат"</t>
  </si>
  <si>
    <t>Основное мероприятие "Создание благоприятных условий для привлечения инвестиций в экономику Российской Федерации"</t>
  </si>
  <si>
    <t>проведение оценки эффективности деятельности федеральных органов исполнительной власти по созданию благоприятных условий ведения бизнеса;
 мониторинг состояния инвестиционного климата в субъектах Российской Федерации;
 экспертиза нормативных правовых актов в области налогового законодательства;
 координация деятельности федеральных органов исполнительной власти по привлечению инвестиций в экономику России;
 проведение ежегодных международных экономических инвестиционных форумов в г. Санкт-Петербурге;
 ежегодное проведение Российского инвестиционного форума;
 разработка и экспертиза нормативных правовых актов в области государственно-частного партнерства;
 оценка эффективности проектов государственно-частного партнерства и определение их сравнительного преимущества;
 мониторинг реализации соглашений о государственно-частном партнерстве и муниципально-частном партнерстве;
 методическое сопровождение деятельности, связанной с подготовкой проектов государственно-частного партнерства, проектов муниципально-частного партнерства, разработкой, реализацией и прекращением соглашений о государственно-частном партнерстве, соглашений о муниципально-частном партнерстве;</t>
  </si>
  <si>
    <t>29 марта 2013 г.</t>
  </si>
  <si>
    <t>Основное мероприятие "Государственная поддержка механизма "фабрики" проектного финансирования"</t>
  </si>
  <si>
    <t>привлечение к финансированию инвестиционных проектов реального сектора экономики широкого круга частных инвесторов, в том числе коммерческих банков, международных финансовых организаций (реализация механизма "фабрики" проектного финансирования будет осуществляться на базе государственной корпорации "ВЭБ.РФ")</t>
  </si>
  <si>
    <t>01 января 2018 г.</t>
  </si>
  <si>
    <t>Основное мероприятие "Развитие моногородов"</t>
  </si>
  <si>
    <t>основными направлениями деятельности некоммерческой организации "Фонд развития моногородов" являются:
 софинансирование расходов субъектов Российской Федерации и муниципальных образований в целях реализации мероприятий по строительству и (или) реконструкции объектов инфраструктуры, необходимых для реализации новых инвестиционных проектов в моногородах;
 содействие в подготовке и (или) участие в финансировании инвестиционных проектов в моногородах;
 выполнение функций проектного офиса по проектам развития моногородов;
 формирование команд, управляющих проектами развития моногородов, и организация их обучения (финансовым обеспечением реализации указанных направлений является субсидия из федерального бюджета, главным распорядителем бюджетных средств которой является Минэкономразвития России)</t>
  </si>
  <si>
    <t>29 сентября 2014 г.</t>
  </si>
  <si>
    <t>Подпрограмма "Государственная регистрация прав, кадастр и картография"</t>
  </si>
  <si>
    <t>Основное мероприятие "Обеспечение государственного кадастрового учета, государственной регистрации прав и картографии"</t>
  </si>
  <si>
    <t>обмен международным опытом и технологиями в сферах деятельности Росреестра;
 исполнение обязательств Росреестра;
 обеспечение работоспособности информационно-коммуникационной системы Росреестра;
 обеспечение деятельности подведомственных Росреестру государственных учреждений по оказанию государственных услуг (выполнению работ) и иной деятельности;
 строительство и реконструкция объектов недвижимого имущества для нужд территориальных органов и бюджетных учреждений;
 осуществление функций, возложенных на Росреестр</t>
  </si>
  <si>
    <t>Основное мероприятие "Землеустройство и мониторинг состояния и использования земельных ресурсов"</t>
  </si>
  <si>
    <t>наблюдение за земельными ресурсами в результате проведения мероприятий по мониторингу состояния и использования земель (за исключением земель сельскохозяйственного назначения) и землеустройству;
 создание условий для эффективного использования земель</t>
  </si>
  <si>
    <t>Основное мероприятие "Развитие инфраструктуры пространственных данных Российской Федерации"</t>
  </si>
  <si>
    <t>оптимизация и модернизация главной высотной основы на территории Российской Федерации;
 создание новых пунктов фундаментальной гравиметрической сети;
 создание и обновление цифровых топографических карт и цифровых топографических карт открытого пользования на территории Российской Федерации;
 подготовка итоговых документов делимитации, демаркации и проверки прохождения линии государственной границы Российской Федерации;
 развитие инфраструктуры пространственных данных Российской Федерации</t>
  </si>
  <si>
    <t>2024 г.</t>
  </si>
  <si>
    <t>Подпрограмма "Совершенствование системы государственного управления"</t>
  </si>
  <si>
    <t>Основное мероприятие "Совершенствование предоставления государственных услуг и исполнения государственных функций"</t>
  </si>
  <si>
    <t>сохранение достигнутых показателей, обеспечивающих достижение значения доли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не менее 90 процентов до конца 2024 года и развитие системы предоставления государственных и муниципальных услуг по принципу "одного окна";
 методическая поддержка и мониторинг реализации проекта по созданию и развитию сети многофункциональных центров предоставления государственных и муниципальных услуг;
 мониторинг уровня удовлетворенности граждан Российской Федерации качеством предоставления государственных и муниципальных услуг</t>
  </si>
  <si>
    <t>Основное мероприятие "Формирование единой национальной системы аккредитации"</t>
  </si>
  <si>
    <t>развитие системы нормативного правового регулирования единой национальной системы аккредитации;
 обеспечение деятельности центрального аппарата и территориальных управлений Росаккредитации;
 развитие информационно-телекоммуникационной инфраструктуры национального органа по аккредитации;
 организационно-методическое обеспечение создания института независимых экспертов по аккредитации</t>
  </si>
  <si>
    <t>Подпрограмма "Стимулирование инноваций"</t>
  </si>
  <si>
    <t>Основное мероприятие "Поддержка малого инновационного предпринимательства"</t>
  </si>
  <si>
    <t>финансовое обеспечение проектов на основе договоров (контрактов), а также путем предоставления грантов физическим и юридическим лицам на финансовое обеспечение проектов, в том числе проектов, результаты которых имеют перспективу коммерциализации и реализуются субъектами малого инновационного предпринимательства;
 финансовое обеспечение проектов по вовлечению молодежи в инновационную деятельность и других элементов инновационной инфраструктуры в целях последующего создания малых инновационных предприятий;
 содействие вовлечению достижений науки и техники в производство для развития малых форм предприятий в научно-технической сфере, деятельность которых заключается в практическом применении (внедрении) результатов интеллектуальной деятельности;
 содействие развитию инновационной инфраструктуры для эффективного использования имеющегося в Российской Федерации научно-технического потенциала</t>
  </si>
  <si>
    <t>Основное мероприятие "Проведение исследований в целях инновационного развития экономики"</t>
  </si>
  <si>
    <t>проведение научно-исследовательских, научно-исследовательских и опытно-конструкторских работ, необходимых в рамках реализации государственных программ Российской Федерации, реализуемых Минэкономразвития России</t>
  </si>
  <si>
    <t>Основное мероприятие "Развитие механизмов правовой охраны и защиты интеллектуальной собственности"</t>
  </si>
  <si>
    <t xml:space="preserve">развитие созданных ранее систем электронной подачи заявок на изобретения и товарные знаки;
разработка онлайн-сервисов подачи заявок на регистрацию результатов интеллектуальной деятельности из информационных систем государственных заказчиков, организаций;
совершенствование разработанных ранее систем делопроизводства по рассмотрению заявлений на регистрацию объектов интеллектуальной собственности;
ведение базовых государственных информационных ресурсов, содержащих сведения о состоянии правовой охраны объектов интеллектуальной собственности;
повышение доступности государственного патентного фонда
</t>
  </si>
  <si>
    <t>Основное мероприятие "Содействие развитию современной инновационной инфраструктуры в сфере нанотехнологий, механизмов и инструментов для реализации потенциала наноиндустрии"</t>
  </si>
  <si>
    <t>предоставление субсидий Фонду инфраструктурных и образовательных программ на реализацию основных направлений деятельности, направленных на финансовое и нефинансовое развитие нанотехнологического и связанных с ним высокотехнологичных секторов экономики путем формирования и развития инновационной инфраструктуры, развития рынка квалифицированных кадров и системы профессионального образования, реализации институциональной и информационной поддержки, способствующих выведению на рынок технологических решений и готовых продуктов</t>
  </si>
  <si>
    <t>Подпрограмма "Развитие антимонопольного и тарифного регулирования, конкуренции и повышение эффективности антимонопольного контроля"</t>
  </si>
  <si>
    <t>Основное мероприятие "Совершенствование контроля за применением антимонопольного законодательства"</t>
  </si>
  <si>
    <t>разработка документов, направленных на совершенствование процедур деятельности антимонопольных органов и повышение эффективности их работы;
 разработка и внедрение административных регламентов по исполнению ФАС России государственных функций;
 осуществление контроля и пресечение нарушений в сфере недобросовестной конкуренции и в сфере рекламной деятельности;
 осуществление контроля исполнения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пресечение и предупреждение злоупотреблений доминирующим положением хозяйствующих субъектов, за исключением субъектов естественных монополий, приводящих к ограничению конкуренции;
 выявление и пресечение случаев дискриминации доступа к услугам в сферах деятельности субъектов естественных монополий;
 осуществление контроля за соблюдением антимонопольного законодательства;
 создание условий для развития конкуренции в сфере деятельности субъектов естественных монополий</t>
  </si>
  <si>
    <t>Подпрограмма "Управленческие кадры"</t>
  </si>
  <si>
    <t>Основное мероприятие "Подготовка управленческих кадров для организаций народного хозяйства"</t>
  </si>
  <si>
    <t>обучение по форме профессиональной переподготовки и повышения квалификации в образовательных учреждениях с применением современных образовательных технологий, основанных на активных методах обучения, и дистанционных форм подготовки;</t>
  </si>
  <si>
    <t>Основное мероприятие "Организация и проведение обучения по дополнительным профессиональным программам за рубежом, в том числе в рамках взаимных обменов с иностранными государствами на основе конкурсного отбора проектов"</t>
  </si>
  <si>
    <t>организация зарубежных стажировок российских специалистов в рамках взаимных обменов с иностранными государствами, целевых проектных стажировок на основе конкурсного отбора проектов, стажировок иностранных управленцев на российских предприятиях, внутрироссийских стажировок и др.;
 приобретение авиа и железнодорожных билетов, организация визовой поддержки российских специалистов, направляемых на зарубежные стажировки, организация визовой поддержки приема иностранных специалистов на стажировки в ведущих российских организациях в рамках взаимных обменов</t>
  </si>
  <si>
    <t>Основное мероприятие "Повышение качества и информационно-технологического обеспечения образовательных программ и контроль качества подготовки специалистов"</t>
  </si>
  <si>
    <t>обеспечение информационно-технологического сопровождения процедур Государственного плана подготовки управленческих кадров для организаций народного хозяйства Российской Федерации по направлению учебно-методического обеспечения;
 усовершенствование электронной библиотеки;
 размещение в информационно-телекоммуникационной сети "Интернет" базы лучших проектов выпускников Государственного плана подготовки управленческих кадров для организаций народного хозяйства Российской Федерации;
 оценка эффективности и качества реализации образовательных программ</t>
  </si>
  <si>
    <t>Основное мероприятие "Подготовка управленческих кадров в сфере здравоохранения, образования и культуры"</t>
  </si>
  <si>
    <t>обучение управленческих кадров в сфере здравоохранения, образования и культуры по дополнительным профессиональным программам повышения квалификации</t>
  </si>
  <si>
    <t>Основное мероприятие "Программа развития кадрового управленческого резерва"</t>
  </si>
  <si>
    <t>обучение управленческих кадров - участников программы развития кадрового управленческого резерва (руководителей федеральных и региональных органов государственной власти, органов местного самоуправления, а также компаний и организаций с государственным участием) по дополнительным профессиональным программам повышения квалификации и профессиональной переподготовки</t>
  </si>
  <si>
    <t>11 мая 2017 г.</t>
  </si>
  <si>
    <t>31 декабря 2018 г.</t>
  </si>
  <si>
    <t>Подпрограмма "Совершенствование системы государственного стратегического управления"</t>
  </si>
  <si>
    <t>Основное мероприятие "Развитие государственного стратегического планирования"</t>
  </si>
  <si>
    <t xml:space="preserve">совершенствование нормативной правовой и методической базы по вопросам стратегического планирования;
организация и проведение мониторинга, контроля, оценки эффективности реализации документов стратегического планирования, подлежащих мониторингу, контролю и оценке эффективности в соответствующий временной период;
совершенствование нормативной правовой и методической базы по вопросам разработки и реализации государственных программ Российской Федерации;
участие в разработке нового и внесение изменений в действующее бюджетное законодательство в части внедрения программно-целевого подхода в бюджетный процесс;
организация и проведение мониторинга, оценки эффективности реализации государственных программ Российской Федерации
</t>
  </si>
  <si>
    <t>Основное мероприятие "Научно-аналитическое обеспечение развития стратегического планирования и прогнозирования"</t>
  </si>
  <si>
    <t>совершенствование аналитического и статистического прогноза социально-экономического развития Российской Федерации;
 выполнение прикладных экономических исследований федеральным государственным бюджетным образовательным учреждением высшего образования "Всероссийская академия внешней торговли Министерства экономического развития Российской Федерации";
 обеспечение деятельности Научно-образовательного центра проектного менеджмента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 по разработке и реализации проектного управления в Российской Федерации</t>
  </si>
  <si>
    <t>Подпрограмма "Официальная статистика"</t>
  </si>
  <si>
    <t>Основное мероприятие "Обеспечение выполнения комплекса работ по реализации Федерального плана статистических работ"</t>
  </si>
  <si>
    <t>организация федеральных статистических наблюдений;
 выполнение научно-исследовательских работ в целях совершенствования официальной статистической методологии;
 обеспечение сопровождения Единой межведомственной информационно-статистической системы;
 информационно-вычислительное сопровождение работ по сбору, обработке и распространению официальной статистической информации</t>
  </si>
  <si>
    <t>Основное мероприятие "Подготовка, проведение и подведение итогов всероссийских переписей населения (микропереписей)"</t>
  </si>
  <si>
    <t>выполнение научно-исследовательских и проектно-технологических работ для проведения Всероссийской переписи населения 2020 года и микропереписи населения 2025 года;
 подготовка и проведение Всероссийской переписи населения 2020 года;
 разработка нормативных правовых актов об организации Всероссийской переписи населения 2020 года</t>
  </si>
  <si>
    <t>28 марта 2013 г.</t>
  </si>
  <si>
    <t>Основное мероприятие "Подготовка, проведение и подведение итогов всероссийских сельскохозяйственных переписей"</t>
  </si>
  <si>
    <t>подведение итогов Всероссийской сельскохозяйственной переписи 2016 года и их официальное опубликование;
 разработка нормативных правовых актов об организации сельскохозяйственной микропереписи 2021 года;
 выполнение научно-исследовательских и проектно-технологических работ для проведения сельскохозяйственной микропереписи 2021 года;
 организация подготовки, проведения и подведения итогов сельскохозяйственной микропереписи 2021 года;
 проведение пилотного обследования с целью тестирования методологических и организационных вопросов микропереписи 2021 года, а также технологии сбора и автоматизированной обработки полученных данных;
 информационно-вычислительное сопровождение работ по сбору, обработке и получению итогов микропереписи 2021 года;
 подготовка к проведению Всероссийской сельскохозяйственной переписи 2026 года</t>
  </si>
  <si>
    <t>01 января 2014 г.</t>
  </si>
  <si>
    <t>Основное мероприятие "Разработка базовых таблиц "затраты - выпуск" и подготовка, проведение и подведение итогов сплошного федерального статистического наблюдения за деятельностью субъектов малого и среднего предпринимательства"</t>
  </si>
  <si>
    <t>разработка специализированного программного обеспечения, проведение автоматизированной обработки информации и научно-исследовательских работ для расчетов и согласования показателей базовых таблиц "затраты-выпуск";
 подготовка и проведение федерального статистического наблюдения за затратами на производство и продажу продукции (товаров, работ, услуг) для разработки базовых таблиц "затраты-выпуск" за 2021 год;
 подготовка и проведение сплошного федерального статистического наблюдения за деятельностью субъектов малого и среднего предпринимательства и опубликование его итогов</t>
  </si>
  <si>
    <t>Основное мероприятие "Организация системы федеральных статистических наблюдений по социально-демографическим проблемам и мониторинга экономических потерь от смертности, заболеваемости и инвалидизации населения"</t>
  </si>
  <si>
    <t>организация и проведение комплексного наблюдения условий жизни населения, а также выборочных наблюдений:
 использования суточного фонда времени населением;
 репродуктивных планов населения;
 поведенческих факторов, влияющих на состояние здоровья населения;
 о состоянии здоровья населения, рациона питания населения;
 доходов населения и участия в социальных программах;
 качества и доступности услуг в сферах образования, здравоохранения и социального обслуживания, содействия занятости населения;
 использования труда мигрантов;
 участия населения в непрерывном образовании;
 трудоустройства выпускников, получивших среднее профессиональное и высшее образование;
 потребительских предпочтений населения при покупке промышленных товаров;
 формирование статистических показателей для федеральных проектов "Содействие занятости женщин - создание дошкольного образования для детей в возрасте до трех лет", "Финансовая поддержка семей при рождении детей", "Старшее поколение", национального проекта "Демография", ведение мониторинга экономических потерь от смертности, заболеваемости и инвалидизации населения</t>
  </si>
  <si>
    <t>Основное мероприятие "Организация и проведение выборочных обследований отдельных аспектов занятости населения и оплаты труда"</t>
  </si>
  <si>
    <t>подготовка, проведение и публикация итогов выборочных обследований рабочей силы;
 подготовка, проведение и публикация итогов статистических наблюдений за средней заработной платой отдельных (целевых) категорий работников социальной сферы;
 получение и публикация статистической информации, характеризующей занятость населения в домашних хозяйствах по производству сельскохозяйственной продукции</t>
  </si>
  <si>
    <t>Основное мероприятие "Развитие системы государственной статистики"</t>
  </si>
  <si>
    <t xml:space="preserve">совершенствование методологии системы национальных счетов;
реализация комплекса мероприятий по централизации и оптимизации систем сбора, обработки и распространения официальной статистической информации;
модернизация структуры хранения данных и метаданных показателей национальных и региональных счетов;
развитие централизованной системы обработки данных Росстата;
разработка концепции использования "больших данных" в государственной статистике;
модернизация существующих и внедрение новых корпоративных информационных решений на основе портальных технологий;
проведение комплекса организационно-методологических работ для обеспечения расчета показателей мониторинга целей устойчивого развития;
совершенствование методологии демографической статистики;
повышение квалификации сотрудников системы государственной статистики
</t>
  </si>
  <si>
    <t>Подпрограмма "Создание и развитие инновационного центра "Сколково"</t>
  </si>
  <si>
    <t>Основное мероприятие "Создание и развитие инновационной экосистемы, управление инфраструктурой инновационного центра "Сколково"</t>
  </si>
  <si>
    <t>формирование условий и системы взаимодействия между элементами инновационной экосистемы, обеспечивающих благоприятные условия для формирования идей, развития исследований и коммерциализации инновационных технологий;
 формирование системы предоставления сервисов российским организациям в рамках инновационной экосистемы;
 обеспечение доступности сервисов за счет их предоставления как на территории инновационного центра "Сколково", так и за ее пределами, а также за счет развития сервисов, оказываемых на возмездной основе, и организации электронного доступа к сервисам с помощью онлайн-площадки;
 вовлечение в инновационную экосистему талантливой молодежи;
 сокращение издержек организаций на осуществление исследований, разработок и коммерциализацию их результатов за счет субсидирования части затрат на получение сервисов;
 реализация программы управления городом и общегородскими программами</t>
  </si>
  <si>
    <t>Основное мероприятие "Создание и развитие Сколковского института науки и технологий"</t>
  </si>
  <si>
    <t>развитие научно-образовательного и инновационного комплекса автономной некоммерческой образовательной организации высшего образования "Сколковский институт науки и технологий" как основного источника компетенций и кадров для развития корпоративных исследований и инновационного предпринимательства на территории инновационного центра "Сколково" при поддержке со стороны Массачусетского Технологического Института</t>
  </si>
  <si>
    <t>Федеральная целевая программа "Развитие единой государственной системы регистрации прав и кадастрового учета недвижимости (2014 - 2019 годы)"</t>
  </si>
  <si>
    <t>Федеральная целевая программа "Развитие единой государственной системы регистрации прав и кадастрового учета недвижимости (2014 - 2020 годы)"</t>
  </si>
  <si>
    <t>1 января 2014 г.</t>
  </si>
  <si>
    <t>31 декабря 2020 г.</t>
  </si>
  <si>
    <t>Подпрограмма "Энергосбережение и повышение энергетической эффективности"</t>
  </si>
  <si>
    <t>Основное мероприятие "Информационное обеспечение государственной политики в области энергосбережения и повышения энергетической эффективности"</t>
  </si>
  <si>
    <t>сопровождение, эксплуатация и совершенствование государственной информационной системы в области энергосбережения и повышения энергетической эффективности;
 подготовка и распространение ежегодного государственного доклада о состоянии энергосбережения и повышения энергетической эффективности;
 международное сотрудничество в области энергосбережения и повышения энергетической эффективности</t>
  </si>
  <si>
    <t>Подпрограмма "Туризм"</t>
  </si>
  <si>
    <t>Основное мероприятие "Создание благоприятных условий для развития туризма в Российской Федерации"</t>
  </si>
  <si>
    <t>Ж</t>
  </si>
  <si>
    <t>Подпрограмма "Управление федеральным имуществом"</t>
  </si>
  <si>
    <t>Основное мероприятие "Развитие федеральной государственной информационно-аналитической системы "Единая система управления государственным имуществом"</t>
  </si>
  <si>
    <t>Основное мероприятие "Инвентаризация и вовлечение в гражданско-правовые отношения объектов имущества, составляющего казну Российской Федерации, и обеспечение сохранности имущества, ограниченного в обороте"</t>
  </si>
  <si>
    <t>Основное мероприятие "Инвентаризация и вовлечение земельных участков в гражданско-правовые отношения"</t>
  </si>
  <si>
    <t>Основное мероприятие "Повышение эффективности управления организациями с государственным участием и оптимизация их состава"</t>
  </si>
  <si>
    <t>закрытая ГП</t>
  </si>
  <si>
    <t>Государственная программа Российской Федерации "Развитие атомного энергопромышленного комплекса"</t>
  </si>
  <si>
    <t>Подпрограмма "Обеспечение безопасного обращения с радиоактивными отходами"</t>
  </si>
  <si>
    <t>Основное мероприятие "Обращение с федеральными радиоактивными отходами, включая радиоактивные отходы, образующиеся в федеральных государственных учреждениях и федеральных казенных предприятиях"</t>
  </si>
  <si>
    <t xml:space="preserve">обеспечение деятельности международных инспекций (оплата труда, командировочные расходы, услуги связи и прочее);
обеспечение готовности материально-технической базы назначенных лабораторий Организации по запрещению химического оружия
</t>
  </si>
  <si>
    <t>31.12.2027</t>
  </si>
  <si>
    <t>Подпрограмма "Обеспечение безопасного обращения с федеральными радиоактивными отходами, поддержание в безопасном состоянии и утилизация ядерно и радиационно опасных объектов ядерного наследия"</t>
  </si>
  <si>
    <t>Основное мероприятие "Поддержание в безопасном состоянии ядерно и радиационно опасных объектов ядерного наследия"</t>
  </si>
  <si>
    <t>Основное мероприятие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 опасных объектов"</t>
  </si>
  <si>
    <t>Подпрограмма "Обеспечение инновационного развития гражданского сектора атомной отрасли и расширение сферы использования ядерных технологий"</t>
  </si>
  <si>
    <t>Основное мероприятие "Участие в проекте создания Международного термоядерного экспериментального реактора ИТЭР"</t>
  </si>
  <si>
    <t>Основное мероприятие "Участие в проекте создания Центра по исследованию ионов и антипротонов в Европе"</t>
  </si>
  <si>
    <t>01.01.2010</t>
  </si>
  <si>
    <t>Основное мероприятие "Выполнение обязательств Российской Федерации в рамках участия в деятельности международных организаций"</t>
  </si>
  <si>
    <t>Подпрограмма "Обеспечение исполнения Государственной корпорацией по атомной энергии "Росатом" государственных полномочий и функций в установленной сфере деятельности"</t>
  </si>
  <si>
    <t>Основное мероприятие "Выполнение Государственной корпорацией по атомной энергии "Росатом" возложенных на нее государственных полномочий"</t>
  </si>
  <si>
    <t>Подпрограмма "Обеспечение производственных, технологических и социально-экономических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t>
  </si>
  <si>
    <t>Основное мероприятие "Строительство атомных ледоколов нового поколения"</t>
  </si>
  <si>
    <t>Федеральная целевая программа "Обеспечение ядерной и радиационной безопасности на 2016 - 2020 годы и на период до 2030 года"</t>
  </si>
  <si>
    <t>ФЦП под грифом для служебного пользования 
//ФЦП под грифом для служебного пользования //ФЦП под грифом для служебного пользования</t>
  </si>
  <si>
    <t>Подпрограмма "Разработка технологий управляемого термоядерного синтеза и инновационных плазменных технологий"</t>
  </si>
  <si>
    <t>Основное мероприятие "Разработка и имплементация базовых термоядерных технологий"</t>
  </si>
  <si>
    <t>Основное мероприятие "Исследования и разработки по гибридным реакторным технологиям и системам"</t>
  </si>
  <si>
    <t>Основное мероприятие "Разработка инновационных плазменных технологий, в том числе опытно-промышленных"</t>
  </si>
  <si>
    <t>Подпрограмма "Устойчивое развитие гражданского сектора атомной науки, техники и технологий"</t>
  </si>
  <si>
    <t>Основное мероприятие "Исследования свойств вещества в экстремальном состоянии в обоснование инновационных ядерных энергетических установок"</t>
  </si>
  <si>
    <t>Подпрограмма "Обеспечение развития двухкомпонентной атомной энергетики и сооружение промышленных энергетических комплексов"</t>
  </si>
  <si>
    <t>Основное мероприятие "Разработка технологий двухкомпонентной атомной энергетики на базе реакторов на быстрых нейтронах для создания на их основе конкурентоспособных на мировом рынке ядерных энергокомплексов"</t>
  </si>
  <si>
    <t>Основное мероприятие "Создание современной экспериментально-стендовой базы двухкомпонентной атомной энергетики и продление срока эксплуатации действующих объектов научно-исследовательской базы атомной энергетики"</t>
  </si>
  <si>
    <t>И</t>
  </si>
  <si>
    <t>Подпрограмма "Разработка новых материалов и технологий для перспективных энергетических систем" </t>
  </si>
  <si>
    <t>Основное мероприятие "Разработка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t>
  </si>
  <si>
    <t>Основное мероприятие "Создание системы и инфраструктуры разработки и обоснования новых материалов с использованием новых физических принципов"</t>
  </si>
  <si>
    <t>Государственная программа Российской Федерации "Информационное общество"</t>
  </si>
  <si>
    <t>Подпрограмма "Информационно-телекоммуникационная инфраструктура информационного общества и услуги, оказываемые на ее основе"</t>
  </si>
  <si>
    <t>Основное мероприятие "Обеспечение доступности услуг электросвязи на территории Российской Федерации"</t>
  </si>
  <si>
    <t>01.01.2011</t>
  </si>
  <si>
    <t>Основное мероприятие "Расширение использования радиочастотного спектра в гражданских целях"</t>
  </si>
  <si>
    <t>Основное мероприятие "Управление развитием информационно-коммуникационной инфраструктуры информационного общества"</t>
  </si>
  <si>
    <t>Основное мероприятие "Развитие связи и информационных технологий в целях осуществления подготовки и проведения в Российской Федерации спортивных мероприятий"</t>
  </si>
  <si>
    <t>Подпрограмма "Информационная среда"</t>
  </si>
  <si>
    <t>Основное мероприятие "Строительство, восстановление, реконструкция, переоборудование объектов телерадиовещания"</t>
  </si>
  <si>
    <t>Основное мероприятие "Поддержка печатных средств массовой информации"</t>
  </si>
  <si>
    <t>Основное мероприятие "Поддержка создания и распространения телерадиопрограмм и электронных средств массовой информации"</t>
  </si>
  <si>
    <t>Основное мероприятие "Поддержка социально значимых проектов в медиасреде"</t>
  </si>
  <si>
    <t>Основное мероприятие "Участие России в международном информационном обмене"</t>
  </si>
  <si>
    <t>Основное мероприятие "Стимулирование профессиональной деятельности в области средств массовой информации"</t>
  </si>
  <si>
    <t xml:space="preserve">стимулирование профессиональной деятельности в области средств массовой информации за счет присуждения 10 ежегодных премий в размере 1 млн. рублей каждая;
поддержка и увеличение доли социально ориентированных российских средств массовой информации, а также иностранных средств массовой информации, осуществляющих производство и выпуск продукции средств массовой информации на русском языке
</t>
  </si>
  <si>
    <t>Основное мероприятие "Ведение федеральных информационных фондов, баз и банков данных"</t>
  </si>
  <si>
    <t>Основное мероприятие "Управление развитием информационной среды"</t>
  </si>
  <si>
    <t>Подпрограмма "Безопасность в информационном обществе"</t>
  </si>
  <si>
    <t>Основное мероприятие "Контроль и надзор в сфере связи, информационных технологий и массовых коммуникаций"</t>
  </si>
  <si>
    <t>Основное мероприятие "Организация деятельности радиочастотной службы"</t>
  </si>
  <si>
    <t>Основное мероприятие "Развитие сети станций радиоконтроля"</t>
  </si>
  <si>
    <t>Основное мероприятие "Предупреждение информационно-технологических угроз национальным интересам России"</t>
  </si>
  <si>
    <t>Основное мероприятие "Информационно-техническое сопровождение, модернизация, развитие программно-технических средств подсистемы мониторинга средств массовой информации в специальных целях"</t>
  </si>
  <si>
    <t>Основное мероприятие "Противодействие терроризму, экстремизму, насилию"</t>
  </si>
  <si>
    <t>Подпрограмма "Информационное государство"</t>
  </si>
  <si>
    <t>Основное мероприятие "Управление развитием информационного общества"</t>
  </si>
  <si>
    <t xml:space="preserve">осуществление в соответствии с Положением о Министерстве цифрового развития, связи и массовых коммуникаций Российской Федерации, утвержденным постановлением Правительства Российской Федерации от 2 июня 2008 г. N 418 "О Министерстве цифрового развития, связи и массовых коммуникаций Российской Федерации", функций по выработке и реализации государственной политики и нормативному правовому регулированию в сфере информационных технологий (включая использование информационных технологий при формировании государственных информационных ресурсов и обеспечение доступа к ним), электросвязи (включая использование и конверсию радиочастотного спектра) и почтовой связи, массовых коммуникаций и средств массовой информации, в том числе электронных (включая развитие информационно-телекоммуникационной сети "Интернет", систем телевизионного (в том числе цифрового) вещания и радиовещания и новых технологий в этих областях), печати, издательской и полиграфической
деятельности, обработки персональных данных, управления государственным имуществом и оказания государственных услуг в сфере информационных технологий, в том числе в части использования информационных технологий для формирования государственных информационных ресурсов и обеспечения доступа к ним, а также по выработке и реализации государственной политики в сфере защиты детей от информации, причиняющей вред их здоровью и (или) развитию;
получение актуальной статистической информации о ходе развития информационного общества в Российской Федерации
</t>
  </si>
  <si>
    <t>Основное мероприятие "Развитие и эксплуатация электронного правительства"</t>
  </si>
  <si>
    <t>Основное мероприятие "Создание и внедрение современных информационных технологий в сфере государственного управления"</t>
  </si>
  <si>
    <t>Основное мероприятие "Создание и развитие официальных сайтов высших должностных лиц и органов управления Российской Федерации"</t>
  </si>
  <si>
    <t>Основное мероприятие "Координация мероприятий по использованию информационно-коммуникационных технологий в деятельности государственных органов"</t>
  </si>
  <si>
    <t>Основное мероприятие "Поддержка региональных проектов в сфере информационных технологий"</t>
  </si>
  <si>
    <t>Основное мероприятие "Информатизация в сфере оказания государственных услуг и контроля качества их предоставления, осуществления государственных функций и информационной открытости органов власти"</t>
  </si>
  <si>
    <t>Основное мероприятие "Информационно-технологическое и информационно-аналитическое обеспечение деятельности отдельных органов государственной власти"</t>
  </si>
  <si>
    <t>Основное мероприятие "Развитие сервисов на основе информационных технологий в области медицины, здравоохранения, социального обеспечения, образования, науки и культуры"</t>
  </si>
  <si>
    <t>Основное мероприятие "Создание, развитие и функционирование государственной системы миграционного и регистрационного учета, а также изготовления, оформления и контроля обращения документов, удостоверяющих личность"</t>
  </si>
  <si>
    <t>Основное мероприятие "Сохранение и развитие архивных информационных ресурсов"</t>
  </si>
  <si>
    <t>Основное мероприятие "Реализация комплексных проектов в сфере информационно-коммуникационных технологий на территории Российской Федерации"</t>
  </si>
  <si>
    <t>Подпрограмма "Развитие отраслей агропромышленного комплекса"</t>
  </si>
  <si>
    <t>Ведомственный проект "Техническая модернизация агропромышленного комплекса"</t>
  </si>
  <si>
    <t>Ведомственный проект "Стимулирование инвестиционной деятельности в агропромышленном комплексе"</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</si>
  <si>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</si>
  <si>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Подпрограмма "Обеспечение условий развития агропромышленного комплекса"</t>
  </si>
  <si>
    <t>Основное мероприятие "Реализация функций аппарата ответственного исполнителя государственной программы"</t>
  </si>
  <si>
    <t>Ведомственная целевая программа "Обеспечение общих условий функционирования отраслей агропромышленного комплекса"</t>
  </si>
  <si>
    <t>Ведомственная целевая программа "Организация ветеринарного и фитосанитарного надзора"</t>
  </si>
  <si>
    <t>Ведомственная целевая программа "Научно-техническое обеспечение развития отраслей агропромышленного комплекса"</t>
  </si>
  <si>
    <t>Ведомственная программа "Развитие мелиоративного комплекса России"</t>
  </si>
  <si>
    <t>31.12.2026</t>
  </si>
  <si>
    <t>Ведомственный проект "Цифровое сельское хозяйство"</t>
  </si>
  <si>
    <t>Государственная программа Российской Федерации "Обеспечение государственной безопасности"</t>
  </si>
  <si>
    <t>Подпрограмма "Противодействие легализации (отмыванию) доходов, полученных преступным путем, и финансированию терроризма"</t>
  </si>
  <si>
    <t>Основное мероприятие "Укрепление международного сотрудничества в сфере противодействия легализации (отмыванию) доходов, полученных преступным путем, и финансированию терроризма и расширение информационного взаимодействия"</t>
  </si>
  <si>
    <t>Основное мероприятие "Укрепление и развитие информационно-технологической базы противодействия легализации (отмыванию) доходов, полученных преступным путем, и финансированию терроризма"</t>
  </si>
  <si>
    <t>Подпрограмма "Обеспечение реализации государственной программы Российской Федерации "Обеспечение государственной безопасности"</t>
  </si>
  <si>
    <t>Основное мероприятие "Содержание аппаратов управления"</t>
  </si>
  <si>
    <t>Ведомственный проект "Создание в субъектах Российской Федерации дополнительных мест для детей в возрасте от двух месяцев до трех лет в организациях, реализующих программы дошкольного образования на 2018 - 2020 годы"</t>
  </si>
  <si>
    <t>Приоритетный проект "Создание современной образовательной среды для школьников"</t>
  </si>
  <si>
    <t>Подпрограмма "Развитие малого и среднего предпринимательства"</t>
  </si>
  <si>
    <t>Основное мероприятие "Федеральная финансовая программа поддержки малого и среднего предпринимательства"</t>
  </si>
  <si>
    <t>29.03.2013</t>
  </si>
  <si>
    <t>Основное мероприятие "Совершенствование системы социального обслуживания граждан"</t>
  </si>
  <si>
    <t/>
  </si>
  <si>
    <t>№
п/п</t>
  </si>
  <si>
    <t xml:space="preserve">Услуги по  подключению к сети передачи данных, обеспечивающей доступ к ЕСПД и (или) к сети  «Интернет», и по передаче данных при осуществлении доступа к этой сети оказаны: на 31.12.2019 - 16035 шт,  на 31.12.2020 - 39505 шт,  на 31.12.2021 - 79015 шт,   на 31.12.2022 - 79015 шт,  на 31.12.2023 - 79015 шт,  на 31.12.2024 - 79015 шт 
 объектам: фельдшерским и фельдшерско-акушерским пунктам, государственным  (муниципальным) образовательным организациям, реализующим программы общего
 образования и (или) среднего профессионального образования, органам  государственной власти, органам местного самоуправления, территориальным  избирательным комиссиям и  избирательным комиссиям субъектов Российской  Федерации, пожарным частям и пожарным постам, участковым пунктам полиции,  территориальным органам Росгвардии и подразделениям (органам) войск национальной  гвардии, в том числе в которых проходят службу лица, имеющие специальные звания  полиции </t>
  </si>
  <si>
    <t>Создана  общественно-государственная организация, обеспечивающая, в том числе,
 функционирование общественной сетевой платформы управления правами на
 результаты интеллектуальной деятельности и средства индивидуализации,
 обеспечивающей развитие сервисов управления такими правами в цифровой среде
 (открытая общественная технологическая инфраструктура).</t>
  </si>
  <si>
    <t xml:space="preserve">1.Принято  постановление Правительства Российской Федерации «О мерах стимулирования  производства радиоэлектронной продукции на территории Российской Федерации
  при осуществлении закупок товаров, работ, услуг для обеспечения   государственных и муниципальных нужд, о внесении изменений в постановление Правительства Российской Федерации от 16 сентября 2016 г. № 925 и признании   утратившими силу некоторых актов Правительства Российской Федерации». 
2.   Минпромторгом России утвержден приказ, устанавливающий форму заявления на
  присвоение и подтверждение статуса телекоммуникационного оборудования   российского происхождения. 3. Минкомсвязью России утвержден приказ,
  устанавливающий форму типового государственного контракта на оказание услуг   по подключению к сетям связи и сети Интернет или оказания услуг связи,
  предусматривающего обязательства исполнителя по приобретению отечественного   телекоммуникационного оборудования из Реестра телекоммуникационного
  оборудования российского происхождения Минпромторга России при оказании таких услуг. 
4.Актуализировано распоряжение Правительства Российской Федерации от   18.07.2018 № 1489-р «Перечень товаров, закупки которых с начальной   (максимальной) ценой договора, превышающей величину, установленную Правительством РФ, не могут быть осуществлены заказчиками, указанными в части   1 статьи 3.1.1 Федерального закона от 18.07.2011 № 223-ФЗ «О закупках
  товаров, работ, услуг отдельными видами юридических лиц» в части   радиоэлектронной продукции. </t>
  </si>
  <si>
    <t xml:space="preserve">Перечень результатов федеральных проектов и государственных программ Российской Федерации, связанных с достижением национальных целей «Обеспечение устойчивого роста реальных доходов граждан, а также роста уровня пенсионного обеспечения выше уровня инфляции» и «Снижение в два раза уровня бедности в Российской Федерации» </t>
  </si>
  <si>
    <t>Финансовое обеспечение в разрезе НП и ФП, связанных с НЦ *,  на период 2019 – 2024 годов и государственных программ на период 2019 – 2022 годов</t>
  </si>
  <si>
    <t>Государственная программа Российской Федерации "Доступная среда"</t>
  </si>
  <si>
    <t>Подпрограмма "Совершенствование государственной системы медико-социальной экспертизы"</t>
  </si>
  <si>
    <t>Основное мероприятие "Обеспечение деятельности учреждений медико-социальной экспертизы"</t>
  </si>
  <si>
    <t>обеспечение деятельности учреждений медико-социальной экспертизы;
рост заработной платы врачей и работников,
предоставляющих медицинские услуги системы медико-социальной экспертизы, среднего и младшего медицинского персонала, обеспечивающего предоставление медицинских услуг системы медико-социальной экспертизы</t>
  </si>
  <si>
    <t>Приложение № 4
к Отчету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</si>
</sst>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m\.yyyy"/>
    <numFmt numFmtId="166" formatCode="d\.m"/>
    <numFmt numFmtId="167" formatCode="d\.m\."/>
  </numFmts>
  <fonts count="34">
    <font>
      <sz val="10"/>
      <color rgb="FF000000"/>
      <name val="Arial"/>
    </font>
    <font>
      <b/>
      <sz val="10"/>
      <color theme="1"/>
      <name val="Arial"/>
      <family val="2"/>
      <charset val="204"/>
    </font>
    <font>
      <sz val="10"/>
      <color theme="1"/>
      <name val="Arial"/>
      <family val="2"/>
      <charset val="204"/>
    </font>
    <font>
      <sz val="10"/>
      <name val="Arial"/>
      <family val="2"/>
      <charset val="204"/>
    </font>
    <font>
      <sz val="9"/>
      <color rgb="FF000000"/>
      <name val="Tahoma"/>
      <family val="2"/>
      <charset val="204"/>
    </font>
    <font>
      <sz val="10"/>
      <color rgb="FF000000"/>
      <name val="Arial"/>
      <family val="2"/>
      <charset val="204"/>
    </font>
    <font>
      <sz val="8"/>
      <color theme="1"/>
      <name val="Arial"/>
      <family val="2"/>
      <charset val="204"/>
    </font>
    <font>
      <sz val="10"/>
      <color theme="0"/>
      <name val="Arial"/>
      <family val="2"/>
      <charset val="204"/>
    </font>
    <font>
      <sz val="10"/>
      <color rgb="FFFF0000"/>
      <name val="Arial"/>
      <family val="2"/>
      <charset val="204"/>
    </font>
    <font>
      <sz val="10"/>
      <color rgb="FFFFFFFF"/>
      <name val="Arial"/>
      <family val="2"/>
      <charset val="204"/>
    </font>
    <font>
      <sz val="10"/>
      <color rgb="FF000000"/>
      <name val="Roboto"/>
    </font>
    <font>
      <sz val="7"/>
      <color theme="1"/>
      <name val="Arial"/>
      <family val="2"/>
      <charset val="204"/>
    </font>
    <font>
      <sz val="10"/>
      <color rgb="FF980000"/>
      <name val="Arial"/>
      <family val="2"/>
      <charset val="204"/>
    </font>
    <font>
      <sz val="10"/>
      <color theme="1"/>
      <name val="Roboto"/>
    </font>
    <font>
      <sz val="9"/>
      <color theme="1"/>
      <name val="Arial"/>
      <family val="2"/>
      <charset val="204"/>
    </font>
    <font>
      <b/>
      <sz val="10"/>
      <color rgb="FF000000"/>
      <name val="Arial"/>
      <family val="2"/>
      <charset val="204"/>
    </font>
    <font>
      <sz val="10"/>
      <color rgb="FFFFFFFF"/>
      <name val="Roboto"/>
    </font>
    <font>
      <sz val="10"/>
      <color rgb="FF231F20"/>
      <name val="Arial"/>
      <family val="2"/>
      <charset val="204"/>
    </font>
    <font>
      <sz val="18"/>
      <color theme="1"/>
      <name val="Arial"/>
      <family val="2"/>
      <charset val="204"/>
    </font>
    <font>
      <sz val="12"/>
      <color rgb="FF000000"/>
      <name val="Calibri"/>
      <family val="2"/>
      <charset val="204"/>
    </font>
    <font>
      <sz val="11"/>
      <color theme="1"/>
      <name val="Arial"/>
      <family val="2"/>
      <charset val="204"/>
    </font>
    <font>
      <sz val="12"/>
      <color rgb="FFFFFFFF"/>
      <name val="Arial"/>
      <family val="2"/>
      <charset val="204"/>
    </font>
    <font>
      <b/>
      <i/>
      <sz val="10"/>
      <name val="Arial"/>
      <family val="2"/>
      <charset val="204"/>
    </font>
    <font>
      <b/>
      <sz val="10"/>
      <name val="Arial"/>
      <family val="2"/>
      <charset val="204"/>
    </font>
    <font>
      <sz val="12"/>
      <name val="Calibri"/>
      <family val="2"/>
      <charset val="204"/>
    </font>
    <font>
      <sz val="10"/>
      <color rgb="FF000000"/>
      <name val="Times New Roman"/>
      <family val="1"/>
      <charset val="204"/>
    </font>
    <font>
      <b/>
      <sz val="10"/>
      <color rgb="FF000000"/>
      <name val="Times New Roman"/>
      <family val="1"/>
      <charset val="204"/>
    </font>
    <font>
      <sz val="10"/>
      <name val="Calibri"/>
      <family val="2"/>
      <charset val="204"/>
    </font>
    <font>
      <sz val="8"/>
      <name val="Times New Roman"/>
      <family val="1"/>
      <charset val="204"/>
    </font>
    <font>
      <sz val="12"/>
      <name val="Times New Roman"/>
      <family val="1"/>
      <charset val="204"/>
    </font>
    <font>
      <b/>
      <sz val="8"/>
      <name val="Times New Roman"/>
      <family val="1"/>
      <charset val="204"/>
    </font>
    <font>
      <b/>
      <sz val="12"/>
      <name val="Times New Roman"/>
      <family val="1"/>
      <charset val="204"/>
    </font>
    <font>
      <b/>
      <sz val="14"/>
      <color rgb="FF000000"/>
      <name val="Times New Roman"/>
      <family val="1"/>
      <charset val="204"/>
    </font>
    <font>
      <b/>
      <sz val="10"/>
      <color rgb="FF000000"/>
      <name val="Arial"/>
      <family val="2"/>
    </font>
  </fonts>
  <fills count="26">
    <fill>
      <patternFill patternType="none"/>
    </fill>
    <fill>
      <patternFill patternType="gray125"/>
    </fill>
    <fill>
      <patternFill patternType="solid">
        <fgColor rgb="FFD9D9D9"/>
        <bgColor rgb="FFD9D9D9"/>
      </patternFill>
    </fill>
    <fill>
      <patternFill patternType="solid">
        <fgColor rgb="FFCFE2F3"/>
        <bgColor rgb="FFCFE2F3"/>
      </patternFill>
    </fill>
    <fill>
      <patternFill patternType="solid">
        <fgColor rgb="FFD9D2E9"/>
        <bgColor rgb="FFD9D2E9"/>
      </patternFill>
    </fill>
    <fill>
      <patternFill patternType="solid">
        <fgColor rgb="FFF3F3F3"/>
        <bgColor rgb="FFF3F3F3"/>
      </patternFill>
    </fill>
    <fill>
      <patternFill patternType="solid">
        <fgColor rgb="FFFFFFFF"/>
        <bgColor rgb="FFFFFFFF"/>
      </patternFill>
    </fill>
    <fill>
      <patternFill patternType="solid">
        <fgColor rgb="FFEDF6FF"/>
        <bgColor rgb="FFEDF6FF"/>
      </patternFill>
    </fill>
    <fill>
      <patternFill patternType="solid">
        <fgColor rgb="FF00FF00"/>
        <bgColor rgb="FF00FF00"/>
      </patternFill>
    </fill>
    <fill>
      <patternFill patternType="solid">
        <fgColor rgb="FF00FFFF"/>
        <bgColor rgb="FF00FFFF"/>
      </patternFill>
    </fill>
    <fill>
      <patternFill patternType="solid">
        <fgColor rgb="FFFF00FF"/>
        <bgColor rgb="FFFF00FF"/>
      </patternFill>
    </fill>
    <fill>
      <patternFill patternType="solid">
        <fgColor theme="0"/>
        <bgColor theme="0"/>
      </patternFill>
    </fill>
    <fill>
      <patternFill patternType="solid">
        <fgColor rgb="FFFFFF00"/>
        <bgColor rgb="FFFFFF00"/>
      </patternFill>
    </fill>
    <fill>
      <patternFill patternType="solid">
        <fgColor rgb="FFFFE599"/>
        <bgColor rgb="FFFFE599"/>
      </patternFill>
    </fill>
    <fill>
      <patternFill patternType="solid">
        <fgColor rgb="FF20124D"/>
        <bgColor rgb="FF20124D"/>
      </patternFill>
    </fill>
    <fill>
      <patternFill patternType="solid">
        <fgColor rgb="FF351C75"/>
        <bgColor rgb="FF351C75"/>
      </patternFill>
    </fill>
    <fill>
      <patternFill patternType="solid">
        <fgColor rgb="FF0B5394"/>
        <bgColor rgb="FF0B5394"/>
      </patternFill>
    </fill>
    <fill>
      <patternFill patternType="solid">
        <fgColor rgb="FFFF9900"/>
        <bgColor rgb="FFFF9900"/>
      </patternFill>
    </fill>
    <fill>
      <patternFill patternType="solid">
        <fgColor rgb="FFEAD1DC"/>
        <bgColor rgb="FFEAD1DC"/>
      </patternFill>
    </fill>
    <fill>
      <patternFill patternType="solid">
        <fgColor theme="8"/>
        <bgColor theme="8"/>
      </patternFill>
    </fill>
    <fill>
      <patternFill patternType="solid">
        <fgColor rgb="FFB7E1CD"/>
        <bgColor rgb="FFB7E1CD"/>
      </patternFill>
    </fill>
    <fill>
      <patternFill patternType="solid">
        <fgColor rgb="FFF7B4AE"/>
        <bgColor rgb="FFF7B4AE"/>
      </patternFill>
    </fill>
    <fill>
      <patternFill patternType="solid">
        <fgColor rgb="FFA6E3B7"/>
        <bgColor rgb="FFA6E3B7"/>
      </patternFill>
    </fill>
    <fill>
      <patternFill patternType="solid">
        <fgColor rgb="FFD5A6BD"/>
        <bgColor rgb="FFD5A6BD"/>
      </patternFill>
    </fill>
    <fill>
      <patternFill patternType="solid">
        <fgColor rgb="FFEA9999"/>
        <bgColor rgb="FFEA9999"/>
      </patternFill>
    </fill>
    <fill>
      <patternFill patternType="solid">
        <fgColor rgb="FF0000FF"/>
        <bgColor rgb="FF0000F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FF9900"/>
      </left>
      <right style="thin">
        <color rgb="FFFF9900"/>
      </right>
      <top style="thin">
        <color rgb="FFFF9900"/>
      </top>
      <bottom style="thin">
        <color rgb="FFFF9900"/>
      </bottom>
      <diagonal/>
    </border>
    <border>
      <left style="thin">
        <color rgb="FF000000"/>
      </left>
      <right style="thin">
        <color rgb="FFB5B8C8"/>
      </right>
      <top style="thin">
        <color rgb="FFB5B8C8"/>
      </top>
      <bottom style="thin">
        <color rgb="FFB5B8C8"/>
      </bottom>
      <diagonal/>
    </border>
    <border>
      <left style="thin">
        <color rgb="FFB5B8C8"/>
      </left>
      <right style="thin">
        <color rgb="FFB5B8C8"/>
      </right>
      <top style="thin">
        <color rgb="FF000000"/>
      </top>
      <bottom style="thin">
        <color rgb="FFB5B8C8"/>
      </bottom>
      <diagonal/>
    </border>
    <border>
      <left style="thin">
        <color rgb="FF000000"/>
      </left>
      <right style="thin">
        <color rgb="FFB5B8C8"/>
      </right>
      <top style="thin">
        <color rgb="FF000000"/>
      </top>
      <bottom style="thin">
        <color rgb="FFB5B8C8"/>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334">
    <xf numFmtId="0" fontId="0" fillId="0" borderId="0" xfId="0" applyFont="1" applyAlignment="1"/>
    <xf numFmtId="0" fontId="1" fillId="0" borderId="1" xfId="0" applyFont="1" applyBorder="1" applyAlignment="1">
      <alignment horizontal="center" vertical="top" wrapText="1"/>
    </xf>
    <xf numFmtId="0" fontId="2" fillId="0" borderId="1" xfId="0" applyFont="1" applyBorder="1" applyAlignment="1">
      <alignment wrapText="1"/>
    </xf>
    <xf numFmtId="0" fontId="2" fillId="0" borderId="0" xfId="0" applyFont="1" applyAlignment="1">
      <alignment wrapText="1"/>
    </xf>
    <xf numFmtId="0" fontId="2" fillId="0" borderId="1" xfId="0" applyFont="1" applyBorder="1" applyAlignment="1">
      <alignment vertical="top" wrapText="1"/>
    </xf>
    <xf numFmtId="0" fontId="2" fillId="0" borderId="1" xfId="0" applyFont="1" applyBorder="1"/>
    <xf numFmtId="0" fontId="2" fillId="0" borderId="1" xfId="0" applyFont="1" applyBorder="1" applyAlignment="1"/>
    <xf numFmtId="0" fontId="2" fillId="0" borderId="0" xfId="0" applyFont="1" applyAlignment="1"/>
    <xf numFmtId="0" fontId="2" fillId="0" borderId="1" xfId="0" applyFont="1" applyBorder="1" applyAlignment="1">
      <alignment vertical="top" wrapText="1"/>
    </xf>
    <xf numFmtId="0" fontId="2" fillId="0" borderId="1" xfId="0" applyFont="1" applyBorder="1" applyAlignment="1">
      <alignment vertical="top" wrapText="1"/>
    </xf>
    <xf numFmtId="0" fontId="4" fillId="7" borderId="1" xfId="0" applyFont="1" applyFill="1" applyBorder="1" applyAlignment="1">
      <alignment wrapText="1"/>
    </xf>
    <xf numFmtId="0" fontId="2" fillId="0" borderId="0" xfId="0" applyFont="1" applyAlignment="1">
      <alignment vertical="top" wrapText="1"/>
    </xf>
    <xf numFmtId="0" fontId="2" fillId="9" borderId="1" xfId="0" applyFont="1" applyFill="1" applyBorder="1" applyAlignment="1">
      <alignment vertical="top" wrapText="1"/>
    </xf>
    <xf numFmtId="0" fontId="2" fillId="10" borderId="1" xfId="0" applyFont="1" applyFill="1" applyBorder="1" applyAlignment="1">
      <alignment vertical="top" wrapText="1"/>
    </xf>
    <xf numFmtId="0" fontId="2" fillId="8" borderId="1" xfId="0" applyFont="1" applyFill="1" applyBorder="1" applyAlignment="1">
      <alignment vertical="top" wrapText="1"/>
    </xf>
    <xf numFmtId="0" fontId="5" fillId="9" borderId="1" xfId="0" applyFont="1" applyFill="1" applyBorder="1" applyAlignment="1">
      <alignment vertical="top" wrapText="1"/>
    </xf>
    <xf numFmtId="0" fontId="5" fillId="11" borderId="1" xfId="0" applyFont="1" applyFill="1" applyBorder="1" applyAlignment="1">
      <alignment vertical="top" wrapText="1"/>
    </xf>
    <xf numFmtId="0" fontId="5" fillId="11" borderId="0" xfId="0" applyFont="1" applyFill="1" applyAlignment="1">
      <alignment vertical="top" wrapText="1"/>
    </xf>
    <xf numFmtId="0" fontId="2" fillId="11" borderId="1" xfId="0" applyFont="1" applyFill="1" applyBorder="1" applyAlignment="1">
      <alignment vertical="top" wrapText="1"/>
    </xf>
    <xf numFmtId="0" fontId="2" fillId="11" borderId="1" xfId="0" applyFont="1" applyFill="1" applyBorder="1" applyAlignment="1">
      <alignment vertical="top" wrapText="1"/>
    </xf>
    <xf numFmtId="0" fontId="2" fillId="11" borderId="0" xfId="0" applyFont="1" applyFill="1" applyAlignment="1">
      <alignment vertical="top" wrapText="1"/>
    </xf>
    <xf numFmtId="0" fontId="2" fillId="0" borderId="3"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6" fillId="5" borderId="2" xfId="0" applyFont="1" applyFill="1" applyBorder="1" applyAlignment="1">
      <alignment horizontal="center" vertical="top" wrapText="1"/>
    </xf>
    <xf numFmtId="0" fontId="2" fillId="13" borderId="1" xfId="0" applyFont="1" applyFill="1" applyBorder="1" applyAlignment="1">
      <alignment vertical="top" wrapText="1"/>
    </xf>
    <xf numFmtId="49" fontId="2" fillId="13" borderId="1" xfId="0" applyNumberFormat="1" applyFont="1" applyFill="1" applyBorder="1" applyAlignment="1">
      <alignment vertical="top" wrapText="1"/>
    </xf>
    <xf numFmtId="0" fontId="2" fillId="6" borderId="1" xfId="0" applyFont="1" applyFill="1" applyBorder="1" applyAlignment="1">
      <alignment vertical="top" wrapText="1"/>
    </xf>
    <xf numFmtId="0" fontId="2" fillId="13" borderId="1" xfId="0" applyFont="1" applyFill="1" applyBorder="1" applyAlignment="1">
      <alignment vertical="top" wrapText="1"/>
    </xf>
    <xf numFmtId="164" fontId="2" fillId="13" borderId="1" xfId="0" applyNumberFormat="1" applyFont="1" applyFill="1" applyBorder="1" applyAlignment="1">
      <alignment vertical="top" wrapText="1"/>
    </xf>
    <xf numFmtId="4" fontId="2" fillId="13" borderId="1" xfId="0" applyNumberFormat="1" applyFont="1" applyFill="1" applyBorder="1" applyAlignment="1">
      <alignment vertical="top" wrapText="1"/>
    </xf>
    <xf numFmtId="0" fontId="2" fillId="0" borderId="3"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3" borderId="4" xfId="0" applyFont="1" applyFill="1" applyBorder="1" applyAlignment="1">
      <alignment vertical="top" wrapText="1"/>
    </xf>
    <xf numFmtId="0" fontId="2" fillId="3" borderId="1" xfId="0" applyFont="1" applyFill="1" applyBorder="1" applyAlignment="1">
      <alignment vertical="top" wrapText="1"/>
    </xf>
    <xf numFmtId="0" fontId="2" fillId="14" borderId="1" xfId="0" applyFont="1" applyFill="1" applyBorder="1" applyAlignment="1">
      <alignment vertical="top" wrapText="1"/>
    </xf>
    <xf numFmtId="0" fontId="7" fillId="14" borderId="1" xfId="0" applyFont="1" applyFill="1" applyBorder="1" applyAlignment="1">
      <alignment vertical="top" wrapText="1"/>
    </xf>
    <xf numFmtId="0" fontId="2" fillId="14" borderId="1" xfId="0" applyFont="1" applyFill="1" applyBorder="1" applyAlignment="1">
      <alignment vertical="top" wrapText="1"/>
    </xf>
    <xf numFmtId="49" fontId="2" fillId="14" borderId="1" xfId="0" applyNumberFormat="1" applyFont="1" applyFill="1" applyBorder="1" applyAlignment="1">
      <alignment vertical="top" wrapText="1"/>
    </xf>
    <xf numFmtId="0" fontId="2" fillId="6" borderId="1" xfId="0" applyFont="1" applyFill="1" applyBorder="1" applyAlignment="1">
      <alignment vertical="top" wrapText="1"/>
    </xf>
    <xf numFmtId="164" fontId="2" fillId="14" borderId="1" xfId="0" applyNumberFormat="1" applyFont="1" applyFill="1" applyBorder="1" applyAlignment="1">
      <alignment vertical="top" wrapText="1"/>
    </xf>
    <xf numFmtId="4" fontId="2" fillId="14" borderId="1" xfId="0" applyNumberFormat="1" applyFont="1" applyFill="1" applyBorder="1" applyAlignment="1">
      <alignment vertical="top" wrapText="1"/>
    </xf>
    <xf numFmtId="49" fontId="2" fillId="0" borderId="1" xfId="0" applyNumberFormat="1" applyFont="1" applyBorder="1" applyAlignment="1">
      <alignment vertical="top" wrapText="1"/>
    </xf>
    <xf numFmtId="0" fontId="8" fillId="0" borderId="1" xfId="0" applyFont="1" applyBorder="1" applyAlignment="1">
      <alignment vertical="top" wrapText="1"/>
    </xf>
    <xf numFmtId="164" fontId="2" fillId="0" borderId="1" xfId="0" applyNumberFormat="1" applyFont="1" applyBorder="1" applyAlignment="1">
      <alignment vertical="top" wrapText="1"/>
    </xf>
    <xf numFmtId="4" fontId="2" fillId="0" borderId="1" xfId="0" applyNumberFormat="1" applyFont="1" applyBorder="1" applyAlignment="1">
      <alignment vertical="top" wrapText="1"/>
    </xf>
    <xf numFmtId="0" fontId="2" fillId="3" borderId="4" xfId="0" applyFont="1" applyFill="1" applyBorder="1" applyAlignment="1">
      <alignment vertical="top" wrapText="1"/>
    </xf>
    <xf numFmtId="0" fontId="2" fillId="3" borderId="1" xfId="0" applyFont="1" applyFill="1" applyBorder="1" applyAlignment="1">
      <alignment vertical="top" wrapText="1"/>
    </xf>
    <xf numFmtId="4" fontId="2" fillId="0" borderId="1" xfId="0" applyNumberFormat="1" applyFont="1" applyBorder="1" applyAlignment="1">
      <alignment vertical="top" wrapText="1"/>
    </xf>
    <xf numFmtId="165" fontId="2" fillId="0" borderId="1" xfId="0" applyNumberFormat="1" applyFont="1" applyBorder="1" applyAlignment="1">
      <alignment vertical="top" wrapText="1"/>
    </xf>
    <xf numFmtId="0" fontId="9" fillId="14" borderId="1" xfId="0" applyFont="1" applyFill="1" applyBorder="1" applyAlignment="1">
      <alignment vertical="top" wrapText="1"/>
    </xf>
    <xf numFmtId="0" fontId="2" fillId="14" borderId="3" xfId="0" applyFont="1" applyFill="1" applyBorder="1" applyAlignment="1">
      <alignment vertical="top" wrapText="1"/>
    </xf>
    <xf numFmtId="0" fontId="2" fillId="14" borderId="10" xfId="0" applyFont="1" applyFill="1" applyBorder="1" applyAlignment="1">
      <alignment vertical="top" wrapText="1"/>
    </xf>
    <xf numFmtId="0" fontId="2" fillId="14" borderId="11" xfId="0" applyFont="1" applyFill="1" applyBorder="1" applyAlignment="1">
      <alignment vertical="top" wrapText="1"/>
    </xf>
    <xf numFmtId="0" fontId="10" fillId="6" borderId="0" xfId="0" applyFont="1" applyFill="1" applyAlignment="1">
      <alignment vertical="top" wrapText="1"/>
    </xf>
    <xf numFmtId="164" fontId="2" fillId="6" borderId="1" xfId="0" applyNumberFormat="1" applyFont="1" applyFill="1" applyBorder="1" applyAlignment="1">
      <alignment horizontal="right" vertical="top" wrapText="1"/>
    </xf>
    <xf numFmtId="4" fontId="2" fillId="0" borderId="1" xfId="0" applyNumberFormat="1" applyFont="1" applyBorder="1" applyAlignment="1">
      <alignment horizontal="right" vertical="top" wrapText="1"/>
    </xf>
    <xf numFmtId="0" fontId="2" fillId="0" borderId="1" xfId="0" applyFont="1" applyBorder="1" applyAlignment="1">
      <alignment vertical="top" wrapText="1"/>
    </xf>
    <xf numFmtId="0" fontId="2" fillId="2" borderId="1" xfId="0" applyFont="1" applyFill="1" applyBorder="1" applyAlignment="1">
      <alignment vertical="top" wrapText="1"/>
    </xf>
    <xf numFmtId="0" fontId="2" fillId="2" borderId="11" xfId="0" applyFont="1" applyFill="1" applyBorder="1" applyAlignment="1">
      <alignment vertical="top" wrapText="1"/>
    </xf>
    <xf numFmtId="0" fontId="1" fillId="0" borderId="1" xfId="0" applyFont="1" applyBorder="1" applyAlignment="1">
      <alignment vertical="top" wrapText="1"/>
    </xf>
    <xf numFmtId="0" fontId="2" fillId="13" borderId="1" xfId="0" applyFont="1" applyFill="1" applyBorder="1" applyAlignment="1">
      <alignment vertical="top" wrapText="1"/>
    </xf>
    <xf numFmtId="164" fontId="2" fillId="11" borderId="1" xfId="0" applyNumberFormat="1" applyFont="1" applyFill="1" applyBorder="1" applyAlignment="1">
      <alignment vertical="top" wrapText="1"/>
    </xf>
    <xf numFmtId="4" fontId="2" fillId="11" borderId="1" xfId="0" applyNumberFormat="1" applyFont="1" applyFill="1" applyBorder="1" applyAlignment="1">
      <alignment vertical="top" wrapText="1"/>
    </xf>
    <xf numFmtId="0" fontId="2" fillId="11"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top" wrapText="1"/>
    </xf>
    <xf numFmtId="0" fontId="2" fillId="13" borderId="1" xfId="0" applyFont="1" applyFill="1" applyBorder="1" applyAlignment="1">
      <alignment vertical="top" wrapText="1"/>
    </xf>
    <xf numFmtId="164" fontId="2" fillId="11" borderId="1" xfId="0" applyNumberFormat="1" applyFont="1" applyFill="1" applyBorder="1" applyAlignment="1">
      <alignment vertical="top" wrapText="1"/>
    </xf>
    <xf numFmtId="165" fontId="2" fillId="11" borderId="1" xfId="0" applyNumberFormat="1" applyFont="1" applyFill="1" applyBorder="1" applyAlignment="1">
      <alignment vertical="top" wrapText="1"/>
    </xf>
    <xf numFmtId="4" fontId="2" fillId="11" borderId="1" xfId="0" applyNumberFormat="1" applyFont="1" applyFill="1" applyBorder="1" applyAlignment="1">
      <alignment vertical="top" wrapText="1"/>
    </xf>
    <xf numFmtId="4" fontId="2" fillId="0" borderId="1" xfId="0" applyNumberFormat="1" applyFont="1" applyBorder="1" applyAlignment="1">
      <alignment horizontal="right" vertical="top" wrapText="1"/>
    </xf>
    <xf numFmtId="0" fontId="2" fillId="12" borderId="1" xfId="0" applyFont="1" applyFill="1" applyBorder="1" applyAlignment="1">
      <alignment vertical="top" wrapText="1"/>
    </xf>
    <xf numFmtId="0" fontId="1" fillId="2" borderId="1" xfId="0" applyFont="1" applyFill="1" applyBorder="1" applyAlignment="1"/>
    <xf numFmtId="0" fontId="1" fillId="2"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0" fontId="2" fillId="0" borderId="3" xfId="0" applyNumberFormat="1" applyFont="1" applyBorder="1"/>
    <xf numFmtId="0" fontId="2" fillId="0" borderId="0" xfId="0" applyFont="1" applyAlignment="1">
      <alignment wrapText="1"/>
    </xf>
    <xf numFmtId="0" fontId="2" fillId="11" borderId="1" xfId="0" applyFont="1" applyFill="1" applyBorder="1" applyAlignment="1">
      <alignment wrapText="1"/>
    </xf>
    <xf numFmtId="166" fontId="2" fillId="11" borderId="1" xfId="0" applyNumberFormat="1" applyFont="1" applyFill="1" applyBorder="1" applyAlignment="1">
      <alignment wrapText="1"/>
    </xf>
    <xf numFmtId="164" fontId="2" fillId="11" borderId="1" xfId="0" applyNumberFormat="1" applyFont="1" applyFill="1" applyBorder="1" applyAlignment="1">
      <alignment vertical="top" wrapText="1"/>
    </xf>
    <xf numFmtId="0" fontId="2" fillId="15" borderId="1" xfId="0" applyFont="1" applyFill="1" applyBorder="1" applyAlignment="1">
      <alignment vertical="top" wrapText="1"/>
    </xf>
    <xf numFmtId="164" fontId="2" fillId="15" borderId="1" xfId="0" applyNumberFormat="1" applyFont="1" applyFill="1" applyBorder="1" applyAlignment="1">
      <alignment vertical="top" wrapText="1"/>
    </xf>
    <xf numFmtId="4" fontId="2" fillId="15" borderId="1" xfId="0" applyNumberFormat="1" applyFont="1" applyFill="1" applyBorder="1" applyAlignment="1">
      <alignment vertical="top" wrapText="1"/>
    </xf>
    <xf numFmtId="49" fontId="2" fillId="0" borderId="1" xfId="0" applyNumberFormat="1" applyFont="1" applyBorder="1" applyAlignment="1">
      <alignment vertical="top" wrapText="1"/>
    </xf>
    <xf numFmtId="164" fontId="2" fillId="0" borderId="1" xfId="0" applyNumberFormat="1" applyFont="1" applyBorder="1" applyAlignment="1">
      <alignment vertical="top" wrapText="1"/>
    </xf>
    <xf numFmtId="10" fontId="2" fillId="0" borderId="12" xfId="0" applyNumberFormat="1" applyFont="1" applyBorder="1" applyAlignment="1"/>
    <xf numFmtId="0" fontId="2" fillId="0" borderId="1" xfId="0" applyFont="1" applyBorder="1" applyAlignment="1">
      <alignment wrapText="1"/>
    </xf>
    <xf numFmtId="0" fontId="2" fillId="16" borderId="1" xfId="0" applyFont="1" applyFill="1" applyBorder="1" applyAlignment="1">
      <alignment vertical="top" wrapText="1"/>
    </xf>
    <xf numFmtId="0" fontId="9" fillId="16" borderId="1" xfId="0" applyFont="1" applyFill="1" applyBorder="1" applyAlignment="1">
      <alignment vertical="top" wrapText="1"/>
    </xf>
    <xf numFmtId="49" fontId="2" fillId="16" borderId="1" xfId="0" applyNumberFormat="1" applyFont="1" applyFill="1" applyBorder="1" applyAlignment="1">
      <alignment vertical="top" wrapText="1"/>
    </xf>
    <xf numFmtId="164" fontId="2" fillId="16" borderId="1" xfId="0" applyNumberFormat="1" applyFont="1" applyFill="1" applyBorder="1" applyAlignment="1">
      <alignment vertical="top" wrapText="1"/>
    </xf>
    <xf numFmtId="4" fontId="2" fillId="16" borderId="1" xfId="0" applyNumberFormat="1" applyFont="1" applyFill="1" applyBorder="1" applyAlignment="1">
      <alignment vertical="top" wrapText="1"/>
    </xf>
    <xf numFmtId="0" fontId="2" fillId="16" borderId="3" xfId="0" applyFont="1" applyFill="1" applyBorder="1" applyAlignment="1">
      <alignment vertical="top" wrapText="1"/>
    </xf>
    <xf numFmtId="0" fontId="2" fillId="16" borderId="10" xfId="0" applyFont="1" applyFill="1" applyBorder="1" applyAlignment="1">
      <alignment vertical="top" wrapText="1"/>
    </xf>
    <xf numFmtId="0" fontId="2" fillId="16" borderId="11" xfId="0" applyFont="1" applyFill="1" applyBorder="1" applyAlignment="1">
      <alignment vertical="top" wrapText="1"/>
    </xf>
    <xf numFmtId="0" fontId="11" fillId="0" borderId="1" xfId="0" applyFont="1" applyBorder="1" applyAlignment="1">
      <alignment vertical="top" wrapText="1"/>
    </xf>
    <xf numFmtId="0" fontId="2" fillId="0" borderId="0" xfId="0" applyFont="1" applyAlignment="1"/>
    <xf numFmtId="0" fontId="2" fillId="0" borderId="0" xfId="0" applyFont="1"/>
    <xf numFmtId="0" fontId="2" fillId="0" borderId="0" xfId="0" applyFont="1"/>
    <xf numFmtId="49" fontId="2" fillId="0" borderId="0" xfId="0" applyNumberFormat="1" applyFont="1" applyAlignment="1"/>
    <xf numFmtId="0" fontId="2" fillId="0" borderId="0" xfId="0" applyFont="1" applyAlignment="1">
      <alignment wrapText="1"/>
    </xf>
    <xf numFmtId="49" fontId="2" fillId="0" borderId="0" xfId="0" applyNumberFormat="1" applyFont="1"/>
    <xf numFmtId="0" fontId="9" fillId="16" borderId="1" xfId="0" applyFont="1" applyFill="1" applyBorder="1" applyAlignment="1">
      <alignment vertical="top" wrapText="1"/>
    </xf>
    <xf numFmtId="49" fontId="9" fillId="16" borderId="1" xfId="0" applyNumberFormat="1" applyFont="1" applyFill="1" applyBorder="1" applyAlignment="1">
      <alignment vertical="top" wrapText="1"/>
    </xf>
    <xf numFmtId="164" fontId="9" fillId="16" borderId="1" xfId="0" applyNumberFormat="1" applyFont="1" applyFill="1" applyBorder="1" applyAlignment="1">
      <alignment vertical="top" wrapText="1"/>
    </xf>
    <xf numFmtId="4" fontId="9" fillId="16" borderId="1" xfId="0" applyNumberFormat="1" applyFont="1" applyFill="1" applyBorder="1" applyAlignment="1">
      <alignment vertical="top" wrapText="1"/>
    </xf>
    <xf numFmtId="0" fontId="9" fillId="16" borderId="3" xfId="0" applyFont="1" applyFill="1" applyBorder="1" applyAlignment="1">
      <alignment vertical="top" wrapText="1"/>
    </xf>
    <xf numFmtId="0" fontId="9" fillId="16" borderId="10" xfId="0" applyFont="1" applyFill="1" applyBorder="1" applyAlignment="1">
      <alignment vertical="top" wrapText="1"/>
    </xf>
    <xf numFmtId="0" fontId="9" fillId="16" borderId="11" xfId="0" applyFont="1" applyFill="1" applyBorder="1" applyAlignment="1">
      <alignment vertical="top" wrapText="1"/>
    </xf>
    <xf numFmtId="0" fontId="9" fillId="3" borderId="4" xfId="0" applyFont="1" applyFill="1" applyBorder="1" applyAlignment="1">
      <alignment vertical="top" wrapText="1"/>
    </xf>
    <xf numFmtId="0" fontId="9" fillId="3" borderId="1" xfId="0" applyFont="1" applyFill="1" applyBorder="1" applyAlignment="1">
      <alignment vertical="top" wrapText="1"/>
    </xf>
    <xf numFmtId="0" fontId="12" fillId="17" borderId="1" xfId="0" applyFont="1" applyFill="1" applyBorder="1" applyAlignment="1">
      <alignment vertical="top" wrapText="1"/>
    </xf>
    <xf numFmtId="0" fontId="5" fillId="17" borderId="1" xfId="0" applyFont="1" applyFill="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vertical="top" wrapText="1"/>
    </xf>
    <xf numFmtId="49" fontId="12" fillId="0" borderId="1" xfId="0" applyNumberFormat="1" applyFont="1" applyBorder="1" applyAlignment="1">
      <alignment vertical="top" wrapText="1"/>
    </xf>
    <xf numFmtId="164" fontId="13" fillId="0" borderId="1" xfId="0" applyNumberFormat="1" applyFont="1" applyBorder="1" applyAlignment="1">
      <alignment vertical="top" wrapText="1"/>
    </xf>
    <xf numFmtId="4" fontId="2" fillId="0" borderId="1"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14" fillId="0" borderId="1" xfId="0" applyFont="1" applyBorder="1" applyAlignment="1">
      <alignment vertical="top" wrapText="1"/>
    </xf>
    <xf numFmtId="164" fontId="2" fillId="0" borderId="1" xfId="0" applyNumberFormat="1" applyFont="1" applyBorder="1" applyAlignment="1">
      <alignment vertical="top" wrapText="1"/>
    </xf>
    <xf numFmtId="4" fontId="2" fillId="0" borderId="0" xfId="0" applyNumberFormat="1" applyFont="1" applyAlignment="1">
      <alignment vertical="top" wrapText="1"/>
    </xf>
    <xf numFmtId="4" fontId="2" fillId="0" borderId="3" xfId="0" applyNumberFormat="1" applyFont="1" applyBorder="1" applyAlignment="1">
      <alignment vertical="top" wrapText="1"/>
    </xf>
    <xf numFmtId="4" fontId="2" fillId="0" borderId="10" xfId="0" applyNumberFormat="1" applyFont="1" applyBorder="1" applyAlignment="1">
      <alignment vertical="top" wrapText="1"/>
    </xf>
    <xf numFmtId="4" fontId="2" fillId="0" borderId="10" xfId="0" applyNumberFormat="1" applyFont="1" applyBorder="1" applyAlignment="1">
      <alignment vertical="top" wrapText="1"/>
    </xf>
    <xf numFmtId="4" fontId="2" fillId="0" borderId="11" xfId="0" applyNumberFormat="1" applyFont="1" applyBorder="1" applyAlignment="1">
      <alignment vertical="top" wrapText="1"/>
    </xf>
    <xf numFmtId="0" fontId="2" fillId="17" borderId="1" xfId="0" applyFont="1" applyFill="1" applyBorder="1" applyAlignment="1">
      <alignment vertical="top" wrapText="1"/>
    </xf>
    <xf numFmtId="0" fontId="2" fillId="17" borderId="1" xfId="0" applyFont="1" applyFill="1" applyBorder="1" applyAlignment="1">
      <alignment vertical="top" wrapText="1"/>
    </xf>
    <xf numFmtId="0" fontId="2" fillId="12" borderId="1" xfId="0" applyFont="1" applyFill="1" applyBorder="1" applyAlignment="1">
      <alignment vertical="top" wrapText="1"/>
    </xf>
    <xf numFmtId="0" fontId="15" fillId="12" borderId="1" xfId="0" applyFont="1" applyFill="1" applyBorder="1" applyAlignment="1">
      <alignment vertical="top" wrapText="1"/>
    </xf>
    <xf numFmtId="49" fontId="2" fillId="12" borderId="1" xfId="0" applyNumberFormat="1" applyFont="1" applyFill="1" applyBorder="1" applyAlignment="1">
      <alignment vertical="top" wrapText="1"/>
    </xf>
    <xf numFmtId="164" fontId="2" fillId="12" borderId="1" xfId="0" applyNumberFormat="1" applyFont="1" applyFill="1" applyBorder="1" applyAlignment="1">
      <alignment vertical="top" wrapText="1"/>
    </xf>
    <xf numFmtId="4" fontId="2" fillId="12" borderId="1" xfId="0" applyNumberFormat="1" applyFont="1" applyFill="1" applyBorder="1" applyAlignment="1">
      <alignment vertical="top" wrapText="1"/>
    </xf>
    <xf numFmtId="0" fontId="2" fillId="12" borderId="3" xfId="0" applyFont="1" applyFill="1" applyBorder="1" applyAlignment="1">
      <alignment vertical="top" wrapText="1"/>
    </xf>
    <xf numFmtId="0" fontId="2" fillId="12" borderId="10" xfId="0" applyFont="1" applyFill="1" applyBorder="1" applyAlignment="1">
      <alignment vertical="top" wrapText="1"/>
    </xf>
    <xf numFmtId="0" fontId="2" fillId="12" borderId="11" xfId="0" applyFont="1" applyFill="1" applyBorder="1" applyAlignment="1">
      <alignment vertical="top" wrapText="1"/>
    </xf>
    <xf numFmtId="0" fontId="2" fillId="0" borderId="1" xfId="0" applyFont="1" applyBorder="1" applyAlignment="1">
      <alignment horizontal="center" vertical="top" wrapText="1"/>
    </xf>
    <xf numFmtId="0" fontId="1" fillId="12" borderId="1" xfId="0" applyFont="1" applyFill="1" applyBorder="1" applyAlignment="1">
      <alignment vertical="top" wrapText="1"/>
    </xf>
    <xf numFmtId="0" fontId="2" fillId="10" borderId="1" xfId="0" applyFont="1" applyFill="1" applyBorder="1" applyAlignment="1">
      <alignment vertical="top" wrapText="1"/>
    </xf>
    <xf numFmtId="0" fontId="15" fillId="10" borderId="1" xfId="0" applyFont="1" applyFill="1" applyBorder="1" applyAlignment="1">
      <alignment vertical="top" wrapText="1"/>
    </xf>
    <xf numFmtId="49" fontId="2" fillId="10" borderId="1" xfId="0" applyNumberFormat="1" applyFont="1" applyFill="1" applyBorder="1" applyAlignment="1">
      <alignment vertical="top" wrapText="1"/>
    </xf>
    <xf numFmtId="164" fontId="2" fillId="10" borderId="1" xfId="0" applyNumberFormat="1" applyFont="1" applyFill="1" applyBorder="1" applyAlignment="1">
      <alignment vertical="top" wrapText="1"/>
    </xf>
    <xf numFmtId="4" fontId="2" fillId="10" borderId="1" xfId="0" applyNumberFormat="1" applyFont="1" applyFill="1" applyBorder="1" applyAlignment="1">
      <alignment vertical="top" wrapText="1"/>
    </xf>
    <xf numFmtId="0" fontId="2" fillId="10" borderId="3" xfId="0" applyFont="1" applyFill="1" applyBorder="1" applyAlignment="1">
      <alignment vertical="top" wrapText="1"/>
    </xf>
    <xf numFmtId="0" fontId="2" fillId="10" borderId="10" xfId="0" applyFont="1" applyFill="1" applyBorder="1" applyAlignment="1">
      <alignment vertical="top" wrapText="1"/>
    </xf>
    <xf numFmtId="0" fontId="2" fillId="10" borderId="11" xfId="0" applyFont="1" applyFill="1" applyBorder="1" applyAlignment="1">
      <alignment vertical="top" wrapText="1"/>
    </xf>
    <xf numFmtId="0" fontId="2" fillId="10" borderId="4" xfId="0" applyFont="1" applyFill="1" applyBorder="1" applyAlignment="1">
      <alignment vertical="top" wrapText="1"/>
    </xf>
    <xf numFmtId="0" fontId="1" fillId="10" borderId="1" xfId="0" applyFont="1" applyFill="1" applyBorder="1" applyAlignment="1">
      <alignment vertical="top" wrapText="1"/>
    </xf>
    <xf numFmtId="0" fontId="9" fillId="14" borderId="3" xfId="0" applyFont="1" applyFill="1" applyBorder="1" applyAlignment="1">
      <alignment vertical="top" wrapText="1"/>
    </xf>
    <xf numFmtId="0" fontId="9" fillId="14" borderId="10" xfId="0" applyFont="1" applyFill="1" applyBorder="1" applyAlignment="1">
      <alignment vertical="top" wrapText="1"/>
    </xf>
    <xf numFmtId="0" fontId="9" fillId="14" borderId="11" xfId="0" applyFont="1" applyFill="1" applyBorder="1" applyAlignment="1">
      <alignment vertical="top" wrapText="1"/>
    </xf>
    <xf numFmtId="0" fontId="9" fillId="14" borderId="4" xfId="0" applyFont="1" applyFill="1" applyBorder="1" applyAlignment="1">
      <alignment vertical="top" wrapText="1"/>
    </xf>
    <xf numFmtId="164" fontId="2" fillId="0" borderId="1" xfId="0" applyNumberFormat="1" applyFont="1" applyBorder="1" applyAlignment="1">
      <alignment horizontal="right" vertical="top" wrapText="1"/>
    </xf>
    <xf numFmtId="164" fontId="2" fillId="0" borderId="1" xfId="0" applyNumberFormat="1" applyFont="1" applyBorder="1" applyAlignment="1">
      <alignment horizontal="right" vertical="top" wrapText="1"/>
    </xf>
    <xf numFmtId="0" fontId="2" fillId="14" borderId="3" xfId="0" applyFont="1" applyFill="1" applyBorder="1" applyAlignment="1">
      <alignment vertical="top" wrapText="1"/>
    </xf>
    <xf numFmtId="0" fontId="2" fillId="18" borderId="1" xfId="0" applyFont="1" applyFill="1" applyBorder="1" applyAlignment="1">
      <alignment vertical="top" wrapText="1"/>
    </xf>
    <xf numFmtId="0" fontId="5" fillId="18" borderId="1" xfId="0" applyFont="1" applyFill="1" applyBorder="1" applyAlignment="1">
      <alignment vertical="top" wrapText="1"/>
    </xf>
    <xf numFmtId="0" fontId="9" fillId="19" borderId="1" xfId="0" applyFont="1" applyFill="1" applyBorder="1" applyAlignment="1">
      <alignment vertical="top" wrapText="1"/>
    </xf>
    <xf numFmtId="0" fontId="16" fillId="19" borderId="1" xfId="0" applyFont="1" applyFill="1" applyBorder="1" applyAlignment="1">
      <alignment vertical="top" wrapText="1"/>
    </xf>
    <xf numFmtId="49" fontId="9" fillId="19" borderId="1" xfId="0" applyNumberFormat="1" applyFont="1" applyFill="1" applyBorder="1" applyAlignment="1">
      <alignment vertical="top" wrapText="1"/>
    </xf>
    <xf numFmtId="164" fontId="9" fillId="19" borderId="1" xfId="0" applyNumberFormat="1" applyFont="1" applyFill="1" applyBorder="1" applyAlignment="1">
      <alignment vertical="top" wrapText="1"/>
    </xf>
    <xf numFmtId="4" fontId="9" fillId="19" borderId="1" xfId="0" applyNumberFormat="1" applyFont="1" applyFill="1" applyBorder="1" applyAlignment="1">
      <alignment vertical="top" wrapText="1"/>
    </xf>
    <xf numFmtId="0" fontId="9" fillId="19" borderId="3" xfId="0" applyFont="1" applyFill="1" applyBorder="1" applyAlignment="1">
      <alignment vertical="top" wrapText="1"/>
    </xf>
    <xf numFmtId="0" fontId="9" fillId="19" borderId="10" xfId="0" applyFont="1" applyFill="1" applyBorder="1" applyAlignment="1">
      <alignment vertical="top" wrapText="1"/>
    </xf>
    <xf numFmtId="0" fontId="9" fillId="19" borderId="11" xfId="0" applyFont="1" applyFill="1" applyBorder="1" applyAlignment="1">
      <alignment vertical="top" wrapText="1"/>
    </xf>
    <xf numFmtId="0" fontId="10" fillId="6" borderId="1" xfId="0" applyFont="1" applyFill="1" applyBorder="1" applyAlignment="1">
      <alignment vertical="top" wrapText="1"/>
    </xf>
    <xf numFmtId="0" fontId="5" fillId="6" borderId="1" xfId="0" applyFont="1" applyFill="1" applyBorder="1" applyAlignment="1">
      <alignment horizontal="left" vertical="top" wrapText="1"/>
    </xf>
    <xf numFmtId="4" fontId="17" fillId="0" borderId="1" xfId="0" applyNumberFormat="1" applyFont="1" applyBorder="1" applyAlignment="1">
      <alignment horizontal="right" vertical="top" wrapText="1"/>
    </xf>
    <xf numFmtId="9" fontId="2" fillId="0" borderId="0" xfId="0" applyNumberFormat="1" applyFont="1" applyAlignment="1"/>
    <xf numFmtId="4" fontId="17" fillId="0" borderId="3" xfId="0" applyNumberFormat="1" applyFont="1" applyBorder="1" applyAlignment="1">
      <alignment horizontal="right" vertical="top" wrapText="1"/>
    </xf>
    <xf numFmtId="9" fontId="2" fillId="0" borderId="0" xfId="0" applyNumberFormat="1" applyFont="1"/>
    <xf numFmtId="0" fontId="2" fillId="20" borderId="10" xfId="0" applyFont="1" applyFill="1" applyBorder="1" applyAlignment="1">
      <alignment vertical="top" wrapText="1"/>
    </xf>
    <xf numFmtId="4" fontId="0" fillId="6" borderId="0" xfId="0" applyNumberFormat="1" applyFont="1" applyFill="1" applyAlignment="1">
      <alignment horizontal="right" vertical="top" wrapText="1"/>
    </xf>
    <xf numFmtId="4" fontId="0" fillId="6" borderId="13" xfId="0" applyNumberFormat="1" applyFont="1" applyFill="1" applyBorder="1" applyAlignment="1">
      <alignment horizontal="right" vertical="top" wrapText="1"/>
    </xf>
    <xf numFmtId="0" fontId="2" fillId="20" borderId="11" xfId="0" applyFont="1" applyFill="1" applyBorder="1" applyAlignment="1">
      <alignment vertical="top" wrapText="1"/>
    </xf>
    <xf numFmtId="0" fontId="0" fillId="6" borderId="0" xfId="0" applyFont="1" applyFill="1" applyAlignment="1">
      <alignment horizontal="left" vertical="top" wrapText="1"/>
    </xf>
    <xf numFmtId="0" fontId="0" fillId="11" borderId="1" xfId="0" applyFont="1" applyFill="1" applyBorder="1" applyAlignment="1">
      <alignment vertical="top" wrapText="1"/>
    </xf>
    <xf numFmtId="0" fontId="18" fillId="0" borderId="0" xfId="0" applyFont="1" applyAlignment="1">
      <alignment horizontal="center"/>
    </xf>
    <xf numFmtId="0" fontId="2" fillId="0" borderId="0" xfId="0" applyFont="1" applyAlignment="1">
      <alignment horizontal="center"/>
    </xf>
    <xf numFmtId="4" fontId="0" fillId="6" borderId="14" xfId="0" applyNumberFormat="1" applyFont="1" applyFill="1" applyBorder="1" applyAlignment="1">
      <alignment horizontal="right" vertical="top" wrapText="1"/>
    </xf>
    <xf numFmtId="10" fontId="2" fillId="0" borderId="0" xfId="0" applyNumberFormat="1" applyFont="1"/>
    <xf numFmtId="4" fontId="0" fillId="6" borderId="15" xfId="0" applyNumberFormat="1" applyFont="1" applyFill="1" applyBorder="1" applyAlignment="1">
      <alignment horizontal="right" vertical="top" wrapText="1"/>
    </xf>
    <xf numFmtId="0" fontId="0" fillId="6" borderId="14" xfId="0" applyFont="1" applyFill="1" applyBorder="1" applyAlignment="1">
      <alignment horizontal="left" vertical="top" wrapText="1"/>
    </xf>
    <xf numFmtId="0" fontId="19" fillId="20" borderId="16" xfId="0" applyFont="1" applyFill="1" applyBorder="1" applyAlignment="1">
      <alignment horizontal="right" vertical="top" wrapText="1"/>
    </xf>
    <xf numFmtId="0" fontId="0" fillId="0" borderId="1" xfId="0" applyFont="1" applyBorder="1" applyAlignment="1">
      <alignment vertical="top" wrapText="1"/>
    </xf>
    <xf numFmtId="4" fontId="0" fillId="0" borderId="1" xfId="0" applyNumberFormat="1" applyFont="1" applyBorder="1" applyAlignment="1">
      <alignment horizontal="right" vertical="top" wrapText="1"/>
    </xf>
    <xf numFmtId="0" fontId="0" fillId="6" borderId="0" xfId="0" applyFont="1" applyFill="1" applyAlignment="1">
      <alignment horizontal="left" vertical="top" wrapText="1"/>
    </xf>
    <xf numFmtId="0" fontId="0" fillId="6" borderId="14" xfId="0" applyFont="1" applyFill="1" applyBorder="1" applyAlignment="1">
      <alignment horizontal="left" vertical="top" wrapText="1"/>
    </xf>
    <xf numFmtId="0" fontId="9" fillId="15" borderId="1" xfId="0" applyFont="1" applyFill="1" applyBorder="1" applyAlignment="1">
      <alignment vertical="top" wrapText="1"/>
    </xf>
    <xf numFmtId="49" fontId="2" fillId="15" borderId="1" xfId="0" applyNumberFormat="1" applyFont="1" applyFill="1" applyBorder="1" applyAlignment="1">
      <alignment vertical="top" wrapText="1"/>
    </xf>
    <xf numFmtId="0" fontId="2" fillId="15" borderId="3" xfId="0" applyFont="1" applyFill="1" applyBorder="1" applyAlignment="1">
      <alignment vertical="top" wrapText="1"/>
    </xf>
    <xf numFmtId="0" fontId="2" fillId="15" borderId="10" xfId="0" applyFont="1" applyFill="1" applyBorder="1" applyAlignment="1">
      <alignment vertical="top" wrapText="1"/>
    </xf>
    <xf numFmtId="0" fontId="2" fillId="15" borderId="11" xfId="0" applyFont="1" applyFill="1" applyBorder="1" applyAlignment="1">
      <alignment vertical="top" wrapText="1"/>
    </xf>
    <xf numFmtId="0" fontId="5" fillId="0" borderId="1" xfId="0" applyFont="1" applyBorder="1" applyAlignment="1">
      <alignment vertical="top" wrapText="1"/>
    </xf>
    <xf numFmtId="0" fontId="0" fillId="21" borderId="1" xfId="0" applyFont="1" applyFill="1" applyBorder="1" applyAlignment="1">
      <alignment vertical="top" wrapText="1"/>
    </xf>
    <xf numFmtId="0" fontId="2" fillId="19" borderId="1" xfId="0" applyFont="1" applyFill="1" applyBorder="1" applyAlignment="1">
      <alignment vertical="top" wrapText="1"/>
    </xf>
    <xf numFmtId="0" fontId="9" fillId="19" borderId="1" xfId="0" applyFont="1" applyFill="1" applyBorder="1" applyAlignment="1">
      <alignment vertical="top" wrapText="1"/>
    </xf>
    <xf numFmtId="49" fontId="2" fillId="19" borderId="1" xfId="0" applyNumberFormat="1" applyFont="1" applyFill="1" applyBorder="1" applyAlignment="1">
      <alignment vertical="top" wrapText="1"/>
    </xf>
    <xf numFmtId="164" fontId="2" fillId="19" borderId="1" xfId="0" applyNumberFormat="1" applyFont="1" applyFill="1" applyBorder="1" applyAlignment="1">
      <alignment vertical="top" wrapText="1"/>
    </xf>
    <xf numFmtId="4" fontId="2" fillId="19" borderId="1" xfId="0" applyNumberFormat="1" applyFont="1" applyFill="1" applyBorder="1" applyAlignment="1">
      <alignment vertical="top" wrapText="1"/>
    </xf>
    <xf numFmtId="0" fontId="2" fillId="19" borderId="3" xfId="0" applyFont="1" applyFill="1" applyBorder="1" applyAlignment="1">
      <alignment vertical="top" wrapText="1"/>
    </xf>
    <xf numFmtId="0" fontId="2" fillId="19" borderId="10" xfId="0" applyFont="1" applyFill="1" applyBorder="1" applyAlignment="1">
      <alignment vertical="top" wrapText="1"/>
    </xf>
    <xf numFmtId="0" fontId="2" fillId="19" borderId="11" xfId="0" applyFont="1" applyFill="1" applyBorder="1" applyAlignment="1">
      <alignment vertical="top" wrapText="1"/>
    </xf>
    <xf numFmtId="0" fontId="9" fillId="0" borderId="1" xfId="0" applyFont="1" applyBorder="1" applyAlignment="1">
      <alignment vertical="top" wrapText="1"/>
    </xf>
    <xf numFmtId="0" fontId="2" fillId="0" borderId="0" xfId="0" applyFont="1" applyAlignment="1">
      <alignment vertical="top" wrapText="1"/>
    </xf>
    <xf numFmtId="0" fontId="20" fillId="0" borderId="1" xfId="0" applyFont="1" applyBorder="1" applyAlignment="1">
      <alignment vertical="top" wrapText="1"/>
    </xf>
    <xf numFmtId="0" fontId="9" fillId="15" borderId="0" xfId="0" applyFont="1" applyFill="1" applyAlignment="1">
      <alignment vertical="top" wrapText="1"/>
    </xf>
    <xf numFmtId="0" fontId="16" fillId="15" borderId="1" xfId="0" applyFont="1" applyFill="1" applyBorder="1" applyAlignment="1">
      <alignment wrapText="1"/>
    </xf>
    <xf numFmtId="0" fontId="9" fillId="15" borderId="1" xfId="0" applyFont="1" applyFill="1" applyBorder="1" applyAlignment="1">
      <alignment vertical="top" wrapText="1"/>
    </xf>
    <xf numFmtId="49" fontId="9" fillId="15" borderId="1" xfId="0" applyNumberFormat="1" applyFont="1" applyFill="1" applyBorder="1" applyAlignment="1">
      <alignment vertical="top" wrapText="1"/>
    </xf>
    <xf numFmtId="164" fontId="9" fillId="15" borderId="1" xfId="0" applyNumberFormat="1" applyFont="1" applyFill="1" applyBorder="1" applyAlignment="1">
      <alignment vertical="top" wrapText="1"/>
    </xf>
    <xf numFmtId="4" fontId="9" fillId="15" borderId="1" xfId="0" applyNumberFormat="1" applyFont="1" applyFill="1" applyBorder="1" applyAlignment="1">
      <alignment vertical="top" wrapText="1"/>
    </xf>
    <xf numFmtId="0" fontId="21" fillId="15" borderId="1" xfId="0" applyFont="1" applyFill="1" applyBorder="1" applyAlignment="1">
      <alignment horizontal="right" vertical="top" wrapText="1"/>
    </xf>
    <xf numFmtId="0" fontId="2" fillId="22" borderId="1" xfId="0" applyFont="1" applyFill="1" applyBorder="1" applyAlignment="1">
      <alignment vertical="top" wrapText="1"/>
    </xf>
    <xf numFmtId="0" fontId="2" fillId="21" borderId="1" xfId="0" applyFont="1" applyFill="1" applyBorder="1" applyAlignment="1">
      <alignment vertical="top" wrapText="1"/>
    </xf>
    <xf numFmtId="0" fontId="2" fillId="21" borderId="1" xfId="0" applyFont="1" applyFill="1" applyBorder="1" applyAlignment="1">
      <alignment horizontal="center" vertical="top" wrapText="1"/>
    </xf>
    <xf numFmtId="166" fontId="2" fillId="21" borderId="1" xfId="0" applyNumberFormat="1" applyFont="1" applyFill="1" applyBorder="1" applyAlignment="1">
      <alignment horizontal="center" vertical="top" wrapText="1"/>
    </xf>
    <xf numFmtId="49" fontId="2" fillId="0" borderId="1" xfId="0" applyNumberFormat="1" applyFont="1" applyBorder="1" applyAlignment="1">
      <alignment horizontal="right" vertical="top" wrapText="1"/>
    </xf>
    <xf numFmtId="0" fontId="5" fillId="0" borderId="1" xfId="0" applyFont="1" applyBorder="1" applyAlignment="1">
      <alignment vertical="top" wrapText="1"/>
    </xf>
    <xf numFmtId="0" fontId="5" fillId="0" borderId="1" xfId="0" applyFont="1" applyBorder="1" applyAlignment="1">
      <alignment horizontal="right" vertical="top" wrapText="1"/>
    </xf>
    <xf numFmtId="0" fontId="5" fillId="0" borderId="1" xfId="0" applyFont="1" applyBorder="1" applyAlignment="1">
      <alignment vertical="top" wrapText="1"/>
    </xf>
    <xf numFmtId="0" fontId="5" fillId="0" borderId="1" xfId="0" applyFont="1" applyBorder="1" applyAlignment="1">
      <alignment vertical="top" wrapText="1"/>
    </xf>
    <xf numFmtId="164" fontId="2" fillId="11" borderId="1" xfId="0" applyNumberFormat="1" applyFont="1" applyFill="1" applyBorder="1" applyAlignment="1">
      <alignment horizontal="right" vertical="top" wrapText="1"/>
    </xf>
    <xf numFmtId="164" fontId="2" fillId="21" borderId="0" xfId="0" applyNumberFormat="1" applyFont="1" applyFill="1" applyAlignment="1">
      <alignment horizontal="right" vertical="top" wrapText="1"/>
    </xf>
    <xf numFmtId="4" fontId="5" fillId="0" borderId="1" xfId="0" applyNumberFormat="1" applyFont="1" applyBorder="1" applyAlignment="1">
      <alignment horizontal="center" vertical="top" wrapText="1"/>
    </xf>
    <xf numFmtId="4" fontId="5" fillId="23" borderId="1" xfId="0" applyNumberFormat="1" applyFont="1" applyFill="1" applyBorder="1" applyAlignment="1">
      <alignment horizontal="center" vertical="top" wrapText="1"/>
    </xf>
    <xf numFmtId="0" fontId="2" fillId="11" borderId="1" xfId="0" applyFont="1" applyFill="1" applyBorder="1" applyAlignment="1">
      <alignment horizontal="right" vertical="top" wrapText="1"/>
    </xf>
    <xf numFmtId="0" fontId="2" fillId="21" borderId="1" xfId="0" applyFont="1" applyFill="1" applyBorder="1" applyAlignment="1">
      <alignment vertical="top" wrapText="1"/>
    </xf>
    <xf numFmtId="166" fontId="2" fillId="21" borderId="1" xfId="0" applyNumberFormat="1" applyFont="1" applyFill="1" applyBorder="1" applyAlignment="1">
      <alignment horizontal="center" vertical="top" wrapText="1"/>
    </xf>
    <xf numFmtId="4" fontId="5" fillId="0" borderId="1" xfId="0" applyNumberFormat="1" applyFont="1" applyBorder="1" applyAlignment="1">
      <alignment horizontal="center" vertical="top" wrapText="1"/>
    </xf>
    <xf numFmtId="4" fontId="5" fillId="23" borderId="1" xfId="0" applyNumberFormat="1" applyFont="1" applyFill="1" applyBorder="1" applyAlignment="1">
      <alignment horizontal="center" vertical="top" wrapText="1"/>
    </xf>
    <xf numFmtId="4" fontId="5" fillId="11" borderId="1" xfId="0" applyNumberFormat="1" applyFont="1" applyFill="1" applyBorder="1" applyAlignment="1">
      <alignment horizontal="center" vertical="top" wrapText="1"/>
    </xf>
    <xf numFmtId="4" fontId="5" fillId="11" borderId="1" xfId="0" applyNumberFormat="1" applyFont="1" applyFill="1" applyBorder="1" applyAlignment="1">
      <alignment horizontal="center" vertical="top" wrapText="1"/>
    </xf>
    <xf numFmtId="4" fontId="5" fillId="11" borderId="1" xfId="0" applyNumberFormat="1" applyFont="1" applyFill="1" applyBorder="1" applyAlignment="1">
      <alignment horizontal="center" vertical="top" wrapText="1"/>
    </xf>
    <xf numFmtId="4" fontId="5" fillId="21" borderId="1" xfId="0" applyNumberFormat="1" applyFont="1" applyFill="1" applyBorder="1" applyAlignment="1">
      <alignment horizontal="center" vertical="top" wrapText="1"/>
    </xf>
    <xf numFmtId="166" fontId="2" fillId="0" borderId="1" xfId="0" applyNumberFormat="1" applyFont="1" applyBorder="1" applyAlignment="1">
      <alignment horizontal="center" vertical="top" wrapText="1"/>
    </xf>
    <xf numFmtId="167"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5" fillId="11" borderId="1" xfId="0" applyFont="1" applyFill="1" applyBorder="1" applyAlignment="1">
      <alignment wrapText="1"/>
    </xf>
    <xf numFmtId="0" fontId="2" fillId="15" borderId="0" xfId="0" applyFont="1" applyFill="1" applyAlignment="1">
      <alignment vertical="top" wrapText="1"/>
    </xf>
    <xf numFmtId="0" fontId="5" fillId="15" borderId="1" xfId="0" applyFont="1" applyFill="1" applyBorder="1" applyAlignment="1">
      <alignment vertical="top" wrapText="1"/>
    </xf>
    <xf numFmtId="4" fontId="5" fillId="15" borderId="1" xfId="0" applyNumberFormat="1" applyFont="1" applyFill="1" applyBorder="1" applyAlignment="1">
      <alignment vertical="top" wrapText="1"/>
    </xf>
    <xf numFmtId="0" fontId="2" fillId="15" borderId="1" xfId="0" applyFont="1" applyFill="1" applyBorder="1" applyAlignment="1">
      <alignment vertical="top" wrapText="1"/>
    </xf>
    <xf numFmtId="0" fontId="2" fillId="15" borderId="4" xfId="0" applyFont="1" applyFill="1" applyBorder="1" applyAlignment="1">
      <alignment vertical="top" wrapText="1"/>
    </xf>
    <xf numFmtId="49" fontId="2" fillId="12" borderId="1" xfId="0" applyNumberFormat="1" applyFont="1" applyFill="1" applyBorder="1" applyAlignment="1">
      <alignment vertical="top" wrapText="1"/>
    </xf>
    <xf numFmtId="164" fontId="2" fillId="12" borderId="1" xfId="0" applyNumberFormat="1" applyFont="1" applyFill="1" applyBorder="1" applyAlignment="1">
      <alignment vertical="top" wrapText="1"/>
    </xf>
    <xf numFmtId="0" fontId="2" fillId="12" borderId="3" xfId="0" applyFont="1" applyFill="1" applyBorder="1" applyAlignment="1">
      <alignment vertical="top" wrapText="1"/>
    </xf>
    <xf numFmtId="0" fontId="2" fillId="12" borderId="4" xfId="0" applyFont="1" applyFill="1" applyBorder="1" applyAlignment="1">
      <alignment vertical="top" wrapText="1"/>
    </xf>
    <xf numFmtId="0" fontId="2" fillId="12" borderId="4" xfId="0" applyFont="1" applyFill="1" applyBorder="1" applyAlignment="1">
      <alignment vertical="top" wrapText="1"/>
    </xf>
    <xf numFmtId="0" fontId="2" fillId="24" borderId="1" xfId="0" applyFont="1" applyFill="1" applyBorder="1" applyAlignment="1">
      <alignment vertical="top" wrapText="1"/>
    </xf>
    <xf numFmtId="0" fontId="2" fillId="24" borderId="1" xfId="0" applyFont="1" applyFill="1" applyBorder="1" applyAlignment="1">
      <alignment vertical="top" wrapText="1"/>
    </xf>
    <xf numFmtId="49" fontId="2" fillId="24" borderId="1" xfId="0" applyNumberFormat="1" applyFont="1" applyFill="1" applyBorder="1" applyAlignment="1">
      <alignment vertical="top" wrapText="1"/>
    </xf>
    <xf numFmtId="164" fontId="2" fillId="24" borderId="1" xfId="0" applyNumberFormat="1" applyFont="1" applyFill="1" applyBorder="1" applyAlignment="1">
      <alignment vertical="top" wrapText="1"/>
    </xf>
    <xf numFmtId="4" fontId="2" fillId="24" borderId="1" xfId="0" applyNumberFormat="1" applyFont="1" applyFill="1" applyBorder="1" applyAlignment="1">
      <alignment vertical="top" wrapText="1"/>
    </xf>
    <xf numFmtId="0" fontId="2" fillId="24" borderId="3" xfId="0" applyFont="1" applyFill="1" applyBorder="1" applyAlignment="1">
      <alignment vertical="top" wrapText="1"/>
    </xf>
    <xf numFmtId="0" fontId="2" fillId="24" borderId="10" xfId="0" applyFont="1" applyFill="1" applyBorder="1" applyAlignment="1">
      <alignment vertical="top" wrapText="1"/>
    </xf>
    <xf numFmtId="0" fontId="2" fillId="24" borderId="11" xfId="0" applyFont="1" applyFill="1" applyBorder="1" applyAlignment="1">
      <alignment vertical="top" wrapText="1"/>
    </xf>
    <xf numFmtId="0" fontId="2" fillId="24" borderId="4" xfId="0" applyFont="1" applyFill="1" applyBorder="1" applyAlignment="1">
      <alignment vertical="top" wrapText="1"/>
    </xf>
    <xf numFmtId="49" fontId="2" fillId="0" borderId="0" xfId="0" applyNumberFormat="1" applyFont="1" applyAlignment="1">
      <alignment vertical="top" wrapText="1"/>
    </xf>
    <xf numFmtId="164" fontId="2" fillId="0" borderId="0" xfId="0" applyNumberFormat="1" applyFont="1" applyAlignment="1">
      <alignment vertical="top" wrapText="1"/>
    </xf>
    <xf numFmtId="4" fontId="2" fillId="0" borderId="0" xfId="0" applyNumberFormat="1"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3" borderId="0" xfId="0" applyFont="1" applyFill="1" applyAlignment="1">
      <alignment vertical="top" wrapText="1"/>
    </xf>
    <xf numFmtId="0" fontId="2" fillId="25" borderId="0" xfId="0" applyFont="1" applyFill="1" applyAlignment="1">
      <alignment vertical="top" wrapText="1"/>
    </xf>
    <xf numFmtId="0" fontId="2" fillId="25" borderId="0" xfId="0" applyFont="1" applyFill="1" applyAlignment="1">
      <alignment vertical="top" wrapText="1"/>
    </xf>
    <xf numFmtId="49" fontId="2" fillId="0" borderId="0" xfId="0" applyNumberFormat="1" applyFont="1" applyAlignment="1">
      <alignment vertical="top" wrapText="1"/>
    </xf>
    <xf numFmtId="0" fontId="10" fillId="6" borderId="0" xfId="0" applyFont="1" applyFill="1" applyAlignment="1">
      <alignment wrapText="1"/>
    </xf>
    <xf numFmtId="164" fontId="2" fillId="0" borderId="0" xfId="0" applyNumberFormat="1" applyFont="1" applyAlignment="1">
      <alignment vertical="top" wrapText="1"/>
    </xf>
    <xf numFmtId="0" fontId="2" fillId="0" borderId="16" xfId="0" applyFont="1" applyBorder="1" applyAlignment="1">
      <alignment vertical="top" wrapText="1"/>
    </xf>
    <xf numFmtId="0" fontId="2" fillId="3" borderId="0" xfId="0" applyFont="1" applyFill="1" applyAlignment="1">
      <alignment vertical="top" wrapText="1"/>
    </xf>
    <xf numFmtId="164" fontId="2" fillId="0" borderId="0" xfId="0" applyNumberFormat="1" applyFont="1" applyAlignment="1">
      <alignment vertical="top" wrapText="1"/>
    </xf>
    <xf numFmtId="165" fontId="2" fillId="0" borderId="0" xfId="0" applyNumberFormat="1" applyFont="1" applyAlignment="1">
      <alignment vertical="top" wrapText="1"/>
    </xf>
    <xf numFmtId="0" fontId="4" fillId="5" borderId="1" xfId="0" applyFont="1" applyFill="1" applyBorder="1" applyAlignment="1">
      <alignment wrapText="1"/>
    </xf>
    <xf numFmtId="0" fontId="2" fillId="12" borderId="0" xfId="0" applyFont="1" applyFill="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1" fillId="0" borderId="1" xfId="0" applyFont="1" applyBorder="1" applyAlignment="1">
      <alignment horizontal="right" vertical="top" wrapText="1"/>
    </xf>
    <xf numFmtId="0" fontId="1" fillId="0" borderId="1" xfId="0" applyFont="1" applyBorder="1" applyAlignment="1">
      <alignment horizontal="left" vertical="top" wrapText="1"/>
    </xf>
    <xf numFmtId="0" fontId="29" fillId="0" borderId="0" xfId="0" applyFont="1" applyFill="1" applyAlignment="1">
      <alignment horizontal="center" vertical="center" wrapText="1"/>
    </xf>
    <xf numFmtId="0" fontId="29" fillId="0" borderId="0" xfId="0" applyFont="1" applyFill="1" applyAlignment="1">
      <alignment horizontal="left" vertical="center" wrapText="1"/>
    </xf>
    <xf numFmtId="0" fontId="29" fillId="0" borderId="0" xfId="0" applyFont="1" applyFill="1" applyAlignment="1">
      <alignment vertical="center" wrapText="1"/>
    </xf>
    <xf numFmtId="0" fontId="31" fillId="0" borderId="0" xfId="0" applyFont="1" applyFill="1" applyAlignment="1">
      <alignment vertical="center" wrapText="1"/>
    </xf>
    <xf numFmtId="0" fontId="28" fillId="0" borderId="0" xfId="0" applyFont="1" applyFill="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28" fillId="0" borderId="0" xfId="0" applyFont="1" applyFill="1" applyAlignment="1">
      <alignment horizontal="center" vertical="top" wrapText="1"/>
    </xf>
    <xf numFmtId="0" fontId="28" fillId="0" borderId="0" xfId="0" applyFont="1" applyFill="1" applyAlignment="1">
      <alignment wrapText="1"/>
    </xf>
    <xf numFmtId="0" fontId="28" fillId="0" borderId="0" xfId="0" applyFont="1" applyFill="1" applyAlignment="1">
      <alignment horizontal="left" vertical="top" wrapText="1"/>
    </xf>
    <xf numFmtId="0" fontId="28" fillId="0" borderId="1" xfId="0" applyFont="1" applyFill="1" applyBorder="1" applyAlignment="1">
      <alignment horizontal="center" vertical="center" wrapText="1"/>
    </xf>
    <xf numFmtId="0" fontId="30" fillId="0" borderId="21" xfId="0" applyFont="1" applyFill="1" applyBorder="1" applyAlignment="1">
      <alignment horizontal="center" vertical="top" wrapText="1"/>
    </xf>
    <xf numFmtId="0" fontId="30" fillId="0" borderId="21" xfId="0" applyFont="1" applyFill="1" applyBorder="1" applyAlignment="1">
      <alignment horizontal="left" vertical="top" wrapText="1"/>
    </xf>
    <xf numFmtId="0" fontId="28" fillId="0" borderId="22" xfId="0" applyFont="1" applyFill="1" applyBorder="1" applyAlignment="1">
      <alignment horizontal="center" vertical="top" wrapText="1"/>
    </xf>
    <xf numFmtId="0" fontId="28" fillId="0" borderId="23" xfId="0" applyFont="1" applyFill="1" applyBorder="1" applyAlignment="1">
      <alignment horizontal="center" vertical="top" wrapText="1"/>
    </xf>
    <xf numFmtId="49" fontId="28" fillId="0" borderId="23" xfId="0" applyNumberFormat="1" applyFont="1" applyFill="1" applyBorder="1" applyAlignment="1">
      <alignment horizontal="center" vertical="top" wrapText="1"/>
    </xf>
    <xf numFmtId="0" fontId="28" fillId="0" borderId="23" xfId="0" applyFont="1" applyFill="1" applyBorder="1" applyAlignment="1">
      <alignment horizontal="left" vertical="top" wrapText="1"/>
    </xf>
    <xf numFmtId="164" fontId="28" fillId="0" borderId="23" xfId="0" applyNumberFormat="1" applyFont="1" applyFill="1" applyBorder="1" applyAlignment="1">
      <alignment horizontal="center" vertical="top" wrapText="1"/>
    </xf>
    <xf numFmtId="0" fontId="28" fillId="0" borderId="24" xfId="0" applyFont="1" applyFill="1" applyBorder="1" applyAlignment="1">
      <alignment horizontal="center" vertical="top" wrapText="1"/>
    </xf>
    <xf numFmtId="0" fontId="28" fillId="0" borderId="25" xfId="0" applyFont="1" applyFill="1" applyBorder="1" applyAlignment="1">
      <alignment horizontal="center" vertical="top" wrapText="1"/>
    </xf>
    <xf numFmtId="0" fontId="28" fillId="0" borderId="26" xfId="0" applyFont="1" applyFill="1" applyBorder="1" applyAlignment="1">
      <alignment horizontal="center" vertical="top" wrapText="1"/>
    </xf>
    <xf numFmtId="49" fontId="28" fillId="0" borderId="26" xfId="0" applyNumberFormat="1" applyFont="1" applyFill="1" applyBorder="1" applyAlignment="1">
      <alignment horizontal="center" vertical="top" wrapText="1"/>
    </xf>
    <xf numFmtId="0" fontId="28" fillId="0" borderId="26" xfId="0" applyFont="1" applyFill="1" applyBorder="1" applyAlignment="1">
      <alignment horizontal="left" vertical="top" wrapText="1"/>
    </xf>
    <xf numFmtId="164" fontId="28" fillId="0" borderId="26" xfId="0" applyNumberFormat="1" applyFont="1" applyFill="1" applyBorder="1" applyAlignment="1">
      <alignment horizontal="center" vertical="top" wrapText="1"/>
    </xf>
    <xf numFmtId="0" fontId="28" fillId="0" borderId="27" xfId="0" applyFont="1" applyFill="1" applyBorder="1" applyAlignment="1">
      <alignment horizontal="center" vertical="top" wrapText="1"/>
    </xf>
    <xf numFmtId="165" fontId="28" fillId="0" borderId="26" xfId="0" applyNumberFormat="1" applyFont="1" applyFill="1" applyBorder="1" applyAlignment="1">
      <alignment horizontal="center" vertical="top" wrapText="1"/>
    </xf>
    <xf numFmtId="0" fontId="30" fillId="0" borderId="26" xfId="0" applyFont="1" applyFill="1" applyBorder="1" applyAlignment="1">
      <alignment horizontal="left" vertical="top" wrapText="1"/>
    </xf>
    <xf numFmtId="0" fontId="28" fillId="0" borderId="28" xfId="0" applyFont="1" applyFill="1" applyBorder="1" applyAlignment="1">
      <alignment horizontal="center" vertical="top" wrapText="1"/>
    </xf>
    <xf numFmtId="0" fontId="28" fillId="0" borderId="28" xfId="0" applyFont="1" applyFill="1" applyBorder="1" applyAlignment="1">
      <alignment horizontal="left" vertical="top" wrapText="1"/>
    </xf>
    <xf numFmtId="0" fontId="28" fillId="0" borderId="29" xfId="0" applyFont="1" applyFill="1" applyBorder="1" applyAlignment="1">
      <alignment horizontal="center" vertical="top" wrapText="1"/>
    </xf>
    <xf numFmtId="0" fontId="33" fillId="0" borderId="0" xfId="0" applyFont="1" applyAlignment="1"/>
    <xf numFmtId="0" fontId="32" fillId="0" borderId="0" xfId="0" applyFont="1" applyAlignment="1">
      <alignment horizontal="center" vertical="center"/>
    </xf>
    <xf numFmtId="14" fontId="28" fillId="0" borderId="26" xfId="0" applyNumberFormat="1" applyFont="1" applyFill="1" applyBorder="1" applyAlignment="1">
      <alignment horizontal="center" vertical="top" wrapText="1"/>
    </xf>
    <xf numFmtId="0" fontId="29" fillId="0" borderId="0" xfId="0" applyFont="1" applyFill="1" applyAlignment="1">
      <alignment horizontal="center" vertical="center" wrapText="1"/>
    </xf>
    <xf numFmtId="0" fontId="31" fillId="0" borderId="0" xfId="0" applyFont="1" applyFill="1" applyAlignment="1">
      <alignment horizontal="center" vertical="center" wrapText="1"/>
    </xf>
    <xf numFmtId="0" fontId="28"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2" fillId="0" borderId="0" xfId="0" applyFont="1" applyAlignment="1">
      <alignment horizontal="center" vertical="center" wrapText="1"/>
    </xf>
    <xf numFmtId="0" fontId="1" fillId="4" borderId="2" xfId="0" applyFont="1" applyFill="1" applyBorder="1" applyAlignment="1">
      <alignment horizontal="center" vertical="top" wrapText="1"/>
    </xf>
    <xf numFmtId="0" fontId="3" fillId="0" borderId="6" xfId="0" applyFont="1" applyBorder="1"/>
    <xf numFmtId="49" fontId="1" fillId="4" borderId="2" xfId="0" applyNumberFormat="1" applyFont="1" applyFill="1" applyBorder="1" applyAlignment="1">
      <alignment horizontal="center" vertical="top" wrapText="1"/>
    </xf>
    <xf numFmtId="0" fontId="2" fillId="0" borderId="3" xfId="0" applyFont="1" applyBorder="1" applyAlignment="1">
      <alignment horizontal="center" vertical="top" wrapText="1"/>
    </xf>
    <xf numFmtId="0" fontId="3" fillId="0" borderId="5" xfId="0" applyFont="1" applyBorder="1"/>
    <xf numFmtId="0" fontId="3" fillId="0" borderId="4" xfId="0" applyFont="1" applyBorder="1"/>
    <xf numFmtId="0" fontId="2" fillId="0" borderId="7" xfId="0" applyFont="1" applyBorder="1" applyAlignment="1">
      <alignment horizontal="center" vertical="top" wrapText="1"/>
    </xf>
    <xf numFmtId="0" fontId="3" fillId="0" borderId="8" xfId="0" applyFont="1" applyBorder="1"/>
    <xf numFmtId="0" fontId="3" fillId="0" borderId="9" xfId="0" applyFont="1" applyBorder="1"/>
    <xf numFmtId="0" fontId="2" fillId="3" borderId="0" xfId="0" applyFont="1" applyFill="1" applyAlignment="1">
      <alignment horizontal="center" vertical="top" wrapText="1"/>
    </xf>
    <xf numFmtId="0" fontId="0" fillId="0" borderId="0" xfId="0" applyFont="1" applyAlignment="1"/>
  </cellXfs>
  <cellStyles count="1">
    <cellStyle name="Обычный"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2400" b="0">
                <a:solidFill>
                  <a:srgbClr val="757575"/>
                </a:solidFill>
                <a:latin typeface="+mn-lt"/>
              </a:defRPr>
            </a:pPr>
            <a:r>
              <a:t>Мероприятия, привязанные к ключевым действиям правительства, в разрезе национальных проектов</a:t>
            </a:r>
          </a:p>
        </c:rich>
      </c:tx>
      <c:layout>
        <c:manualLayout>
          <c:xMode val="edge"/>
          <c:yMode val="edge"/>
          <c:x val="2.6478775226165638E-2"/>
          <c:y val="0.05"/>
        </c:manualLayout>
      </c:layout>
      <c:overlay val="0"/>
    </c:title>
    <c:autoTitleDeleted val="0"/>
    <c:plotArea>
      <c:layout/>
      <c:barChart>
        <c:barDir val="col"/>
        <c:grouping val="stacked"/>
        <c:varyColors val="1"/>
        <c:ser>
          <c:idx val="0"/>
          <c:order val="0"/>
          <c:tx>
            <c:strRef>
              <c:f>'Анализ НП'!$J$1</c:f>
              <c:strCache>
                <c:ptCount val="1"/>
                <c:pt idx="0">
                  <c:v>Процент привязки к КД</c:v>
                </c:pt>
              </c:strCache>
            </c:strRef>
          </c:tx>
          <c:spPr>
            <a:solidFill>
              <a:srgbClr val="9D82EC"/>
            </a:solidFill>
          </c:spPr>
          <c:invertIfNegative val="1"/>
          <c:dLbls>
            <c:spPr>
              <a:noFill/>
              <a:ln>
                <a:noFill/>
              </a:ln>
              <a:effectLst/>
            </c:spPr>
            <c:txPr>
              <a:bodyPr/>
              <a:lstStyle/>
              <a:p>
                <a:pPr lvl="0">
                  <a:defRPr sz="3000" b="1">
                    <a:solidFill>
                      <a:srgbClr val="FFFFFF"/>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'Анализ НП'!$A$2:$A$7</c:f>
              <c:strCache>
                <c:ptCount val="6"/>
                <c:pt idx="0">
                  <c:v>I: МСП</c:v>
                </c:pt>
                <c:pt idx="1">
                  <c:v>E: Образование</c:v>
                </c:pt>
                <c:pt idx="2">
                  <c:v>D: Цифровая экономика</c:v>
                </c:pt>
                <c:pt idx="3">
                  <c:v>L: Производительность труда</c:v>
                </c:pt>
                <c:pt idx="4">
                  <c:v>N: Здравоохранение</c:v>
                </c:pt>
                <c:pt idx="5">
                  <c:v>P: Демография</c:v>
                </c:pt>
              </c:strCache>
            </c:strRef>
          </c:cat>
          <c:val>
            <c:numRef>
              <c:f>'Анализ НП'!$J$2:$J$7</c:f>
              <c:numCache>
                <c:formatCode>0%</c:formatCode>
                <c:ptCount val="6"/>
                <c:pt idx="0">
                  <c:v>0.99107142857142805</c:v>
                </c:pt>
                <c:pt idx="1">
                  <c:v>0.80291970802919699</c:v>
                </c:pt>
                <c:pt idx="2">
                  <c:v>0.75555555555555498</c:v>
                </c:pt>
                <c:pt idx="3">
                  <c:v>0.592592592592592</c:v>
                </c:pt>
                <c:pt idx="4">
                  <c:v>0.4</c:v>
                </c:pt>
                <c:pt idx="5">
                  <c:v>0.38095238095237999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D576-41AD-A215-36077F323076}"/>
            </c:ext>
          </c:extLst>
        </c:ser>
        <c:ser>
          <c:idx val="1"/>
          <c:order val="1"/>
          <c:tx>
            <c:strRef>
              <c:f>'Анализ НП'!$K$1</c:f>
              <c:strCache>
                <c:ptCount val="1"/>
                <c:pt idx="0">
                  <c:v>Не привязаны к КД</c:v>
                </c:pt>
              </c:strCache>
            </c:strRef>
          </c:tx>
          <c:spPr>
            <a:solidFill>
              <a:srgbClr val="FFC09C"/>
            </a:solidFill>
          </c:spPr>
          <c:invertIfNegative val="1"/>
          <c:dPt>
            <c:idx val="0"/>
            <c:invertIfNegative val="1"/>
            <c:bubble3D val="0"/>
            <c:extLst>
              <c:ext xmlns:c16="http://schemas.microsoft.com/office/drawing/2014/chart" uri="{C3380CC4-5D6E-409C-BE32-E72D297353CC}">
                <c16:uniqueId val="{00000001-D576-41AD-A215-36077F323076}"/>
              </c:ext>
            </c:extLst>
          </c:dPt>
          <c:dLbls>
            <c:dLbl>
              <c:idx val="0"/>
              <c:spPr/>
              <c:txPr>
                <a:bodyPr/>
                <a:lstStyle/>
                <a:p>
                  <a:pPr lvl="0">
                    <a:defRPr sz="3000" b="1"/>
                  </a:pPr>
                  <a:endParaRPr lang="ru-RU"/>
                </a:p>
              </c:txPr>
              <c:showLegendKey val="0"/>
              <c:showVal val="1"/>
              <c:showCatName val="0"/>
              <c:showSerName val="0"/>
              <c:showPercent val="0"/>
              <c:showBubbleSize val="0"/>
              <c:extLst>
                <c:ext xmlns:c16="http://schemas.microsoft.com/office/drawing/2014/chart" uri="{C3380CC4-5D6E-409C-BE32-E72D297353CC}">
                  <c16:uniqueId val="{00000001-D576-41AD-A215-36077F323076}"/>
                </c:ext>
              </c:extLst>
            </c:dLbl>
            <c:spPr>
              <a:noFill/>
              <a:ln>
                <a:noFill/>
              </a:ln>
              <a:effectLst/>
            </c:spPr>
            <c:txPr>
              <a:bodyPr/>
              <a:lstStyle/>
              <a:p>
                <a:pPr lvl="0">
                  <a:defRPr sz="3000" b="1"/>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'Анализ НП'!$A$2:$A$7</c:f>
              <c:strCache>
                <c:ptCount val="6"/>
                <c:pt idx="0">
                  <c:v>I: МСП</c:v>
                </c:pt>
                <c:pt idx="1">
                  <c:v>E: Образование</c:v>
                </c:pt>
                <c:pt idx="2">
                  <c:v>D: Цифровая экономика</c:v>
                </c:pt>
                <c:pt idx="3">
                  <c:v>L: Производительность труда</c:v>
                </c:pt>
                <c:pt idx="4">
                  <c:v>N: Здравоохранение</c:v>
                </c:pt>
                <c:pt idx="5">
                  <c:v>P: Демография</c:v>
                </c:pt>
              </c:strCache>
            </c:strRef>
          </c:cat>
          <c:val>
            <c:numRef>
              <c:f>'Анализ НП'!$K$2:$K$7</c:f>
              <c:numCache>
                <c:formatCode>0%</c:formatCode>
                <c:ptCount val="6"/>
                <c:pt idx="0">
                  <c:v>8.928571428571952E-3</c:v>
                </c:pt>
                <c:pt idx="1">
                  <c:v>0.19708029197080301</c:v>
                </c:pt>
                <c:pt idx="2">
                  <c:v>0.24444444444444502</c:v>
                </c:pt>
                <c:pt idx="3">
                  <c:v>0.407407407407408</c:v>
                </c:pt>
                <c:pt idx="4">
                  <c:v>0.6</c:v>
                </c:pt>
                <c:pt idx="5">
                  <c:v>0.61904761904761996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D576-41AD-A215-36077F323076}"/>
            </c:ext>
          </c:extLst>
        </c:ser>
        <c:dLbls>
          <c:showLegendKey val="0"/>
          <c:showVal val="0"/>
          <c:showCatName val="0"/>
          <c:showSerName val="0"/>
          <c:showPercent val="0"/>
          <c:showBubbleSize val="0"/>
        </c:dLbls>
        <c:gapWidth val="150"/>
        <c:overlap val="100"/>
        <c:axId val="120344576"/>
        <c:axId val="120346496"/>
      </c:barChart>
      <c:catAx>
        <c:axId val="120344576"/>
        <c:scaling>
          <c:orientation val="minMax"/>
        </c:scaling>
        <c:delete val="0"/>
        <c:axPos val="b"/>
        <c:title>
          <c:tx>
            <c:rich>
              <a:bodyPr/>
              <a:lstStyle/>
              <a:p>
                <a:pPr lvl="0">
                  <a:defRPr sz="1800" b="0">
                    <a:solidFill>
                      <a:srgbClr val="000000"/>
                    </a:solidFill>
                    <a:latin typeface="+mn-lt"/>
                  </a:defRPr>
                </a:pPr>
                <a:r>
                  <a:t>Национальный проект</a:t>
                </a:r>
              </a:p>
            </c:rich>
          </c:tx>
          <c:overlay val="0"/>
        </c:title>
        <c:numFmt formatCode="General" sourceLinked="1"/>
        <c:majorTickMark val="none"/>
        <c:minorTickMark val="none"/>
        <c:tickLblPos val="nextTo"/>
        <c:txPr>
          <a:bodyPr/>
          <a:lstStyle/>
          <a:p>
            <a:pPr lvl="0">
              <a:defRPr sz="2000" b="0">
                <a:solidFill>
                  <a:srgbClr val="000000"/>
                </a:solidFill>
                <a:latin typeface="+mn-lt"/>
              </a:defRPr>
            </a:pPr>
            <a:endParaRPr lang="ru-RU"/>
          </a:p>
        </c:txPr>
        <c:crossAx val="120346496"/>
        <c:crosses val="autoZero"/>
        <c:auto val="1"/>
        <c:lblAlgn val="ctr"/>
        <c:lblOffset val="100"/>
        <c:noMultiLvlLbl val="1"/>
      </c:catAx>
      <c:valAx>
        <c:axId val="1203464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1800" b="0">
                    <a:solidFill>
                      <a:srgbClr val="000000"/>
                    </a:solidFill>
                    <a:latin typeface="+mn-lt"/>
                  </a:defRPr>
                </a:pPr>
                <a:r>
                  <a:t>Процент мероприятий</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ru-RU"/>
          </a:p>
        </c:txPr>
        <c:crossAx val="120344576"/>
        <c:crosses val="autoZero"/>
        <c:crossBetween val="between"/>
      </c:valAx>
    </c:plotArea>
    <c:legend>
      <c:legendPos val="r"/>
      <c:overlay val="0"/>
      <c:txPr>
        <a:bodyPr/>
        <a:lstStyle/>
        <a:p>
          <a:pPr lvl="0">
            <a:defRPr sz="2000" b="0">
              <a:solidFill>
                <a:srgbClr val="1A1A1A"/>
              </a:solidFill>
              <a:latin typeface="+mn-lt"/>
            </a:defRPr>
          </a:pPr>
          <a:endParaRPr lang="ru-RU"/>
        </a:p>
      </c:txPr>
    </c:legend>
    <c:plotVisOnly val="1"/>
    <c:dispBlanksAs val="zero"/>
    <c:showDLblsOverMax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88900</xdr:rowOff>
    </xdr:from>
    <xdr:to>
      <xdr:col>10</xdr:col>
      <xdr:colOff>796119</xdr:colOff>
      <xdr:row>43</xdr:row>
      <xdr:rowOff>0</xdr:rowOff>
    </xdr:to>
    <xdr:pic>
      <xdr:nvPicPr>
        <xdr:cNvPr id="2" name="image5.png">
          <a:extLst>
            <a:ext uri="{FF2B5EF4-FFF2-40B4-BE49-F238E27FC236}">
              <a16:creationId xmlns:a16="http://schemas.microsoft.com/office/drawing/2014/main" id="{69CB8EC2-6600-D04A-9091-916A69542DA3}"/>
            </a:ext>
          </a:extLst>
        </xdr:cNvPr>
        <xdr:cNvPicPr/>
      </xdr:nvPicPr>
      <xdr:blipFill>
        <a:blip xmlns:r="http://schemas.openxmlformats.org/officeDocument/2006/relationships" r:embed="rId1" cstate="print"/>
        <a:srcRect/>
        <a:stretch>
          <a:fillRect/>
        </a:stretch>
      </xdr:blipFill>
      <xdr:spPr>
        <a:xfrm>
          <a:off x="0" y="828154"/>
          <a:ext cx="9136418" cy="6564383"/>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76200</xdr:rowOff>
    </xdr:from>
    <xdr:ext cx="15411450" cy="7058025"/>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S997"/>
  <sheetViews>
    <sheetView tabSelected="1" workbookViewId="0">
      <pane xSplit="8" ySplit="5" topLeftCell="M6" activePane="bottomRight" state="frozen"/>
      <selection pane="topRight" activeCell="K1" sqref="K1"/>
      <selection pane="bottomLeft" activeCell="A7" sqref="A7"/>
      <selection pane="bottomRight" activeCell="P3" sqref="P3:Q3"/>
    </sheetView>
  </sheetViews>
  <sheetFormatPr baseColWidth="10" defaultColWidth="14.5" defaultRowHeight="15.75" customHeight="1" outlineLevelCol="1"/>
  <cols>
    <col min="1" max="1" width="4.1640625" style="291" customWidth="1"/>
    <col min="2" max="2" width="4.33203125" style="291" customWidth="1"/>
    <col min="3" max="3" width="3.1640625" style="291" customWidth="1" outlineLevel="1"/>
    <col min="4" max="4" width="11.33203125" style="293" customWidth="1" outlineLevel="1"/>
    <col min="5" max="5" width="3.1640625" style="291" customWidth="1" outlineLevel="1"/>
    <col min="6" max="6" width="10.6640625" style="293" customWidth="1" outlineLevel="1"/>
    <col min="7" max="7" width="16.5" style="293" customWidth="1" outlineLevel="1"/>
    <col min="8" max="8" width="40.5" style="293" customWidth="1"/>
    <col min="9" max="9" width="32.83203125" style="293" customWidth="1"/>
    <col min="10" max="10" width="7.5" style="291" customWidth="1"/>
    <col min="11" max="11" width="8.6640625" style="291" customWidth="1"/>
    <col min="12" max="12" width="8.83203125" style="291" customWidth="1"/>
    <col min="13" max="13" width="11" style="293" customWidth="1"/>
    <col min="14" max="14" width="8.1640625" style="291" customWidth="1"/>
    <col min="15" max="15" width="12.33203125" style="293" customWidth="1"/>
    <col min="16" max="19" width="7.1640625" style="291" customWidth="1"/>
    <col min="20" max="16384" width="14.5" style="292"/>
  </cols>
  <sheetData>
    <row r="1" spans="1:19" s="286" customFormat="1" ht="31.75" customHeight="1">
      <c r="A1" s="284"/>
      <c r="B1" s="284"/>
      <c r="C1" s="284"/>
      <c r="D1" s="285"/>
      <c r="E1" s="284"/>
      <c r="F1" s="285"/>
      <c r="G1" s="285"/>
      <c r="H1" s="285"/>
      <c r="I1" s="285"/>
      <c r="J1" s="284"/>
      <c r="K1" s="284"/>
      <c r="L1" s="284"/>
      <c r="M1" s="285"/>
      <c r="N1" s="284"/>
      <c r="O1" s="285"/>
      <c r="P1" s="284"/>
      <c r="Q1" s="317" t="s">
        <v>3424</v>
      </c>
      <c r="R1" s="317"/>
      <c r="S1" s="317"/>
    </row>
    <row r="2" spans="1:19" s="287" customFormat="1" ht="43.75" customHeight="1">
      <c r="A2" s="318" t="s">
        <v>3418</v>
      </c>
      <c r="B2" s="318"/>
      <c r="C2" s="318"/>
      <c r="D2" s="318"/>
      <c r="E2" s="318"/>
      <c r="F2" s="318"/>
      <c r="G2" s="318"/>
      <c r="H2" s="318"/>
      <c r="I2" s="318"/>
      <c r="J2" s="318"/>
      <c r="K2" s="318"/>
      <c r="L2" s="318"/>
      <c r="M2" s="318"/>
      <c r="N2" s="318"/>
      <c r="O2" s="318"/>
      <c r="P2" s="318"/>
      <c r="Q2" s="318"/>
      <c r="R2" s="318"/>
      <c r="S2" s="318"/>
    </row>
    <row r="3" spans="1:19" s="288" customFormat="1" ht="25.75" customHeight="1">
      <c r="A3" s="319" t="s">
        <v>3414</v>
      </c>
      <c r="B3" s="320" t="s">
        <v>1</v>
      </c>
      <c r="C3" s="321" t="s">
        <v>2</v>
      </c>
      <c r="D3" s="319"/>
      <c r="E3" s="321" t="s">
        <v>3</v>
      </c>
      <c r="F3" s="319"/>
      <c r="G3" s="294" t="s">
        <v>4</v>
      </c>
      <c r="H3" s="290" t="s">
        <v>4</v>
      </c>
      <c r="I3" s="320" t="s">
        <v>6</v>
      </c>
      <c r="J3" s="320" t="s">
        <v>9</v>
      </c>
      <c r="K3" s="320" t="s">
        <v>10</v>
      </c>
      <c r="L3" s="320" t="s">
        <v>11</v>
      </c>
      <c r="M3" s="320" t="s">
        <v>12</v>
      </c>
      <c r="N3" s="320" t="s">
        <v>14</v>
      </c>
      <c r="O3" s="320" t="s">
        <v>15</v>
      </c>
      <c r="P3" s="320" t="s">
        <v>29</v>
      </c>
      <c r="Q3" s="319"/>
      <c r="R3" s="320" t="s">
        <v>30</v>
      </c>
      <c r="S3" s="319"/>
    </row>
    <row r="4" spans="1:19" s="288" customFormat="1" ht="21.5" customHeight="1">
      <c r="A4" s="319"/>
      <c r="B4" s="319"/>
      <c r="C4" s="289" t="s">
        <v>38</v>
      </c>
      <c r="D4" s="290" t="s">
        <v>40</v>
      </c>
      <c r="E4" s="289" t="s">
        <v>38</v>
      </c>
      <c r="F4" s="290" t="s">
        <v>40</v>
      </c>
      <c r="G4" s="290" t="s">
        <v>41</v>
      </c>
      <c r="H4" s="290" t="s">
        <v>41</v>
      </c>
      <c r="I4" s="319"/>
      <c r="J4" s="319"/>
      <c r="K4" s="319"/>
      <c r="L4" s="319"/>
      <c r="M4" s="319"/>
      <c r="N4" s="319"/>
      <c r="O4" s="319"/>
      <c r="P4" s="290" t="s">
        <v>52</v>
      </c>
      <c r="Q4" s="290" t="s">
        <v>53</v>
      </c>
      <c r="R4" s="290" t="s">
        <v>52</v>
      </c>
      <c r="S4" s="290" t="s">
        <v>53</v>
      </c>
    </row>
    <row r="5" spans="1:19" ht="4.75" customHeight="1">
      <c r="B5" s="295"/>
      <c r="C5" s="295"/>
      <c r="D5" s="296"/>
      <c r="E5" s="295"/>
      <c r="F5" s="296"/>
      <c r="G5" s="296"/>
      <c r="H5" s="296"/>
      <c r="I5" s="296"/>
      <c r="J5" s="295"/>
      <c r="K5" s="295"/>
      <c r="L5" s="295"/>
      <c r="M5" s="296"/>
      <c r="N5" s="295"/>
      <c r="O5" s="296"/>
      <c r="P5" s="295"/>
      <c r="Q5" s="295"/>
      <c r="R5" s="295"/>
      <c r="S5" s="295"/>
    </row>
    <row r="6" spans="1:19" ht="96">
      <c r="A6" s="297">
        <v>1</v>
      </c>
      <c r="B6" s="298">
        <v>43</v>
      </c>
      <c r="C6" s="299" t="s">
        <v>215</v>
      </c>
      <c r="D6" s="300" t="s">
        <v>216</v>
      </c>
      <c r="E6" s="299" t="s">
        <v>217</v>
      </c>
      <c r="F6" s="300" t="s">
        <v>79</v>
      </c>
      <c r="G6" s="300" t="s">
        <v>218</v>
      </c>
      <c r="H6" s="300" t="s">
        <v>219</v>
      </c>
      <c r="I6" s="300" t="s">
        <v>220</v>
      </c>
      <c r="J6" s="298" t="s">
        <v>87</v>
      </c>
      <c r="K6" s="301">
        <v>43405</v>
      </c>
      <c r="L6" s="301">
        <v>43677</v>
      </c>
      <c r="M6" s="300" t="s">
        <v>221</v>
      </c>
      <c r="N6" s="298" t="s">
        <v>90</v>
      </c>
      <c r="O6" s="300" t="s">
        <v>71</v>
      </c>
      <c r="P6" s="298">
        <v>1</v>
      </c>
      <c r="Q6" s="298">
        <v>1</v>
      </c>
      <c r="R6" s="298">
        <v>1</v>
      </c>
      <c r="S6" s="302">
        <v>0</v>
      </c>
    </row>
    <row r="7" spans="1:19" ht="79.75" customHeight="1">
      <c r="A7" s="303">
        <v>2</v>
      </c>
      <c r="B7" s="304">
        <v>44</v>
      </c>
      <c r="C7" s="305" t="s">
        <v>215</v>
      </c>
      <c r="D7" s="306" t="s">
        <v>216</v>
      </c>
      <c r="E7" s="305" t="s">
        <v>217</v>
      </c>
      <c r="F7" s="306" t="s">
        <v>79</v>
      </c>
      <c r="G7" s="306" t="s">
        <v>218</v>
      </c>
      <c r="H7" s="306" t="s">
        <v>223</v>
      </c>
      <c r="I7" s="306" t="s">
        <v>224</v>
      </c>
      <c r="J7" s="304" t="s">
        <v>87</v>
      </c>
      <c r="K7" s="307">
        <v>43406</v>
      </c>
      <c r="L7" s="307">
        <v>43677</v>
      </c>
      <c r="M7" s="306" t="s">
        <v>221</v>
      </c>
      <c r="N7" s="304" t="s">
        <v>90</v>
      </c>
      <c r="O7" s="306" t="s">
        <v>71</v>
      </c>
      <c r="P7" s="304">
        <v>1</v>
      </c>
      <c r="Q7" s="304">
        <v>1</v>
      </c>
      <c r="R7" s="304">
        <v>1</v>
      </c>
      <c r="S7" s="308">
        <v>0</v>
      </c>
    </row>
    <row r="8" spans="1:19" ht="96">
      <c r="A8" s="303">
        <v>3</v>
      </c>
      <c r="B8" s="304">
        <v>45</v>
      </c>
      <c r="C8" s="305" t="s">
        <v>215</v>
      </c>
      <c r="D8" s="306" t="s">
        <v>216</v>
      </c>
      <c r="E8" s="305" t="s">
        <v>217</v>
      </c>
      <c r="F8" s="306" t="s">
        <v>79</v>
      </c>
      <c r="G8" s="306" t="s">
        <v>218</v>
      </c>
      <c r="H8" s="306" t="s">
        <v>225</v>
      </c>
      <c r="I8" s="306" t="s">
        <v>226</v>
      </c>
      <c r="J8" s="304" t="s">
        <v>87</v>
      </c>
      <c r="K8" s="307">
        <v>43407</v>
      </c>
      <c r="L8" s="307">
        <v>43677</v>
      </c>
      <c r="M8" s="306" t="s">
        <v>221</v>
      </c>
      <c r="N8" s="304" t="s">
        <v>90</v>
      </c>
      <c r="O8" s="306" t="s">
        <v>71</v>
      </c>
      <c r="P8" s="304">
        <v>1</v>
      </c>
      <c r="Q8" s="304">
        <v>1</v>
      </c>
      <c r="R8" s="304">
        <v>1</v>
      </c>
      <c r="S8" s="308">
        <v>0</v>
      </c>
    </row>
    <row r="9" spans="1:19" ht="96">
      <c r="A9" s="303">
        <v>4</v>
      </c>
      <c r="B9" s="304">
        <v>46</v>
      </c>
      <c r="C9" s="305" t="s">
        <v>215</v>
      </c>
      <c r="D9" s="306" t="s">
        <v>216</v>
      </c>
      <c r="E9" s="305" t="s">
        <v>217</v>
      </c>
      <c r="F9" s="306" t="s">
        <v>79</v>
      </c>
      <c r="G9" s="306" t="s">
        <v>218</v>
      </c>
      <c r="H9" s="306" t="s">
        <v>228</v>
      </c>
      <c r="I9" s="306" t="s">
        <v>229</v>
      </c>
      <c r="J9" s="304" t="s">
        <v>87</v>
      </c>
      <c r="K9" s="307">
        <v>43408</v>
      </c>
      <c r="L9" s="307">
        <v>43647</v>
      </c>
      <c r="M9" s="306" t="s">
        <v>221</v>
      </c>
      <c r="N9" s="304" t="s">
        <v>90</v>
      </c>
      <c r="O9" s="306" t="s">
        <v>71</v>
      </c>
      <c r="P9" s="304">
        <v>1</v>
      </c>
      <c r="Q9" s="304">
        <v>1</v>
      </c>
      <c r="R9" s="304">
        <v>1</v>
      </c>
      <c r="S9" s="308">
        <v>0</v>
      </c>
    </row>
    <row r="10" spans="1:19" ht="96">
      <c r="A10" s="303">
        <v>5</v>
      </c>
      <c r="B10" s="304">
        <v>47</v>
      </c>
      <c r="C10" s="305" t="s">
        <v>215</v>
      </c>
      <c r="D10" s="306" t="s">
        <v>216</v>
      </c>
      <c r="E10" s="305" t="s">
        <v>217</v>
      </c>
      <c r="F10" s="306" t="s">
        <v>79</v>
      </c>
      <c r="G10" s="306" t="s">
        <v>218</v>
      </c>
      <c r="H10" s="306" t="s">
        <v>230</v>
      </c>
      <c r="I10" s="306" t="s">
        <v>231</v>
      </c>
      <c r="J10" s="304" t="s">
        <v>87</v>
      </c>
      <c r="K10" s="307">
        <v>43409</v>
      </c>
      <c r="L10" s="307">
        <v>43647</v>
      </c>
      <c r="M10" s="306" t="s">
        <v>221</v>
      </c>
      <c r="N10" s="304" t="s">
        <v>90</v>
      </c>
      <c r="O10" s="306" t="s">
        <v>71</v>
      </c>
      <c r="P10" s="304">
        <v>1</v>
      </c>
      <c r="Q10" s="304">
        <v>1</v>
      </c>
      <c r="R10" s="304">
        <v>1</v>
      </c>
      <c r="S10" s="308">
        <v>0</v>
      </c>
    </row>
    <row r="11" spans="1:19" ht="108">
      <c r="A11" s="303">
        <v>6</v>
      </c>
      <c r="B11" s="304">
        <v>48</v>
      </c>
      <c r="C11" s="305" t="s">
        <v>215</v>
      </c>
      <c r="D11" s="306" t="s">
        <v>216</v>
      </c>
      <c r="E11" s="305" t="s">
        <v>217</v>
      </c>
      <c r="F11" s="306" t="s">
        <v>79</v>
      </c>
      <c r="G11" s="306" t="s">
        <v>218</v>
      </c>
      <c r="H11" s="306" t="s">
        <v>232</v>
      </c>
      <c r="I11" s="306" t="s">
        <v>233</v>
      </c>
      <c r="J11" s="304" t="s">
        <v>87</v>
      </c>
      <c r="K11" s="307">
        <v>43410</v>
      </c>
      <c r="L11" s="307">
        <v>43677</v>
      </c>
      <c r="M11" s="306" t="s">
        <v>221</v>
      </c>
      <c r="N11" s="304" t="s">
        <v>90</v>
      </c>
      <c r="O11" s="306" t="s">
        <v>71</v>
      </c>
      <c r="P11" s="304">
        <v>1</v>
      </c>
      <c r="Q11" s="304">
        <v>1</v>
      </c>
      <c r="R11" s="304">
        <v>1</v>
      </c>
      <c r="S11" s="308">
        <v>0</v>
      </c>
    </row>
    <row r="12" spans="1:19" ht="96">
      <c r="A12" s="303">
        <v>7</v>
      </c>
      <c r="B12" s="304">
        <v>49</v>
      </c>
      <c r="C12" s="305" t="s">
        <v>215</v>
      </c>
      <c r="D12" s="306" t="s">
        <v>216</v>
      </c>
      <c r="E12" s="305" t="s">
        <v>217</v>
      </c>
      <c r="F12" s="306" t="s">
        <v>79</v>
      </c>
      <c r="G12" s="306" t="s">
        <v>218</v>
      </c>
      <c r="H12" s="306" t="s">
        <v>234</v>
      </c>
      <c r="I12" s="306" t="s">
        <v>235</v>
      </c>
      <c r="J12" s="304" t="s">
        <v>87</v>
      </c>
      <c r="K12" s="307">
        <v>43411</v>
      </c>
      <c r="L12" s="309">
        <v>44196</v>
      </c>
      <c r="M12" s="306" t="s">
        <v>221</v>
      </c>
      <c r="N12" s="304" t="s">
        <v>90</v>
      </c>
      <c r="O12" s="306" t="s">
        <v>71</v>
      </c>
      <c r="P12" s="304">
        <v>1</v>
      </c>
      <c r="Q12" s="304">
        <v>1</v>
      </c>
      <c r="R12" s="304">
        <v>1</v>
      </c>
      <c r="S12" s="308">
        <v>0</v>
      </c>
    </row>
    <row r="13" spans="1:19" ht="96">
      <c r="A13" s="303">
        <v>8</v>
      </c>
      <c r="B13" s="304">
        <v>50</v>
      </c>
      <c r="C13" s="305" t="s">
        <v>215</v>
      </c>
      <c r="D13" s="306" t="s">
        <v>216</v>
      </c>
      <c r="E13" s="305" t="s">
        <v>217</v>
      </c>
      <c r="F13" s="306" t="s">
        <v>79</v>
      </c>
      <c r="G13" s="306" t="s">
        <v>218</v>
      </c>
      <c r="H13" s="306" t="s">
        <v>236</v>
      </c>
      <c r="I13" s="306" t="s">
        <v>237</v>
      </c>
      <c r="J13" s="304" t="s">
        <v>87</v>
      </c>
      <c r="K13" s="307">
        <v>43412</v>
      </c>
      <c r="L13" s="307">
        <v>44043</v>
      </c>
      <c r="M13" s="306" t="s">
        <v>221</v>
      </c>
      <c r="N13" s="304" t="s">
        <v>90</v>
      </c>
      <c r="O13" s="306" t="s">
        <v>71</v>
      </c>
      <c r="P13" s="304">
        <v>1</v>
      </c>
      <c r="Q13" s="304">
        <v>1</v>
      </c>
      <c r="R13" s="304">
        <v>1</v>
      </c>
      <c r="S13" s="308">
        <v>0</v>
      </c>
    </row>
    <row r="14" spans="1:19" ht="156">
      <c r="A14" s="303">
        <v>9</v>
      </c>
      <c r="B14" s="304">
        <v>51</v>
      </c>
      <c r="C14" s="305" t="s">
        <v>215</v>
      </c>
      <c r="D14" s="306" t="s">
        <v>216</v>
      </c>
      <c r="E14" s="305" t="s">
        <v>217</v>
      </c>
      <c r="F14" s="306" t="s">
        <v>79</v>
      </c>
      <c r="G14" s="306" t="s">
        <v>218</v>
      </c>
      <c r="H14" s="306" t="s">
        <v>238</v>
      </c>
      <c r="I14" s="306" t="s">
        <v>239</v>
      </c>
      <c r="J14" s="304" t="s">
        <v>87</v>
      </c>
      <c r="K14" s="307">
        <v>43413</v>
      </c>
      <c r="L14" s="309">
        <v>45656</v>
      </c>
      <c r="M14" s="306" t="s">
        <v>89</v>
      </c>
      <c r="N14" s="304" t="s">
        <v>90</v>
      </c>
      <c r="O14" s="306" t="s">
        <v>71</v>
      </c>
      <c r="P14" s="304">
        <v>1</v>
      </c>
      <c r="Q14" s="304">
        <v>1</v>
      </c>
      <c r="R14" s="304">
        <v>1</v>
      </c>
      <c r="S14" s="308">
        <v>0</v>
      </c>
    </row>
    <row r="15" spans="1:19" ht="96">
      <c r="A15" s="303">
        <v>10</v>
      </c>
      <c r="B15" s="304">
        <v>52</v>
      </c>
      <c r="C15" s="305" t="s">
        <v>215</v>
      </c>
      <c r="D15" s="306" t="s">
        <v>216</v>
      </c>
      <c r="E15" s="305" t="s">
        <v>217</v>
      </c>
      <c r="F15" s="306" t="s">
        <v>79</v>
      </c>
      <c r="G15" s="306" t="s">
        <v>218</v>
      </c>
      <c r="H15" s="306" t="s">
        <v>240</v>
      </c>
      <c r="I15" s="306" t="s">
        <v>241</v>
      </c>
      <c r="J15" s="304" t="s">
        <v>87</v>
      </c>
      <c r="K15" s="307">
        <v>43414</v>
      </c>
      <c r="L15" s="309">
        <v>43830</v>
      </c>
      <c r="M15" s="306" t="s">
        <v>89</v>
      </c>
      <c r="N15" s="304" t="s">
        <v>90</v>
      </c>
      <c r="O15" s="306" t="s">
        <v>71</v>
      </c>
      <c r="P15" s="304">
        <v>1</v>
      </c>
      <c r="Q15" s="304">
        <v>1</v>
      </c>
      <c r="R15" s="304">
        <v>1</v>
      </c>
      <c r="S15" s="308">
        <v>0</v>
      </c>
    </row>
    <row r="16" spans="1:19" ht="96">
      <c r="A16" s="303">
        <v>11</v>
      </c>
      <c r="B16" s="304">
        <v>53</v>
      </c>
      <c r="C16" s="305" t="s">
        <v>215</v>
      </c>
      <c r="D16" s="306" t="s">
        <v>216</v>
      </c>
      <c r="E16" s="305" t="s">
        <v>217</v>
      </c>
      <c r="F16" s="306" t="s">
        <v>79</v>
      </c>
      <c r="G16" s="306" t="s">
        <v>218</v>
      </c>
      <c r="H16" s="306" t="s">
        <v>242</v>
      </c>
      <c r="I16" s="306" t="s">
        <v>243</v>
      </c>
      <c r="J16" s="304" t="s">
        <v>87</v>
      </c>
      <c r="K16" s="307">
        <v>43415</v>
      </c>
      <c r="L16" s="309">
        <v>44196</v>
      </c>
      <c r="M16" s="306" t="s">
        <v>221</v>
      </c>
      <c r="N16" s="304" t="s">
        <v>90</v>
      </c>
      <c r="O16" s="306" t="s">
        <v>71</v>
      </c>
      <c r="P16" s="304">
        <v>1</v>
      </c>
      <c r="Q16" s="304">
        <v>1</v>
      </c>
      <c r="R16" s="304">
        <v>1</v>
      </c>
      <c r="S16" s="308">
        <v>0</v>
      </c>
    </row>
    <row r="17" spans="1:19" ht="96">
      <c r="A17" s="303">
        <v>12</v>
      </c>
      <c r="B17" s="304">
        <v>54</v>
      </c>
      <c r="C17" s="305" t="s">
        <v>215</v>
      </c>
      <c r="D17" s="306" t="s">
        <v>216</v>
      </c>
      <c r="E17" s="305" t="s">
        <v>217</v>
      </c>
      <c r="F17" s="306" t="s">
        <v>79</v>
      </c>
      <c r="G17" s="306" t="s">
        <v>218</v>
      </c>
      <c r="H17" s="306" t="s">
        <v>244</v>
      </c>
      <c r="I17" s="306" t="s">
        <v>245</v>
      </c>
      <c r="J17" s="304" t="s">
        <v>87</v>
      </c>
      <c r="K17" s="307">
        <v>43416</v>
      </c>
      <c r="L17" s="309">
        <v>44196</v>
      </c>
      <c r="M17" s="306" t="s">
        <v>89</v>
      </c>
      <c r="N17" s="304" t="s">
        <v>90</v>
      </c>
      <c r="O17" s="306" t="s">
        <v>71</v>
      </c>
      <c r="P17" s="304">
        <v>1</v>
      </c>
      <c r="Q17" s="304">
        <v>1</v>
      </c>
      <c r="R17" s="304">
        <v>1</v>
      </c>
      <c r="S17" s="308">
        <v>0</v>
      </c>
    </row>
    <row r="18" spans="1:19" ht="96">
      <c r="A18" s="303">
        <v>13</v>
      </c>
      <c r="B18" s="304">
        <v>55</v>
      </c>
      <c r="C18" s="305" t="s">
        <v>215</v>
      </c>
      <c r="D18" s="306" t="s">
        <v>216</v>
      </c>
      <c r="E18" s="305" t="s">
        <v>217</v>
      </c>
      <c r="F18" s="306" t="s">
        <v>79</v>
      </c>
      <c r="G18" s="306" t="s">
        <v>218</v>
      </c>
      <c r="H18" s="306" t="s">
        <v>246</v>
      </c>
      <c r="I18" s="306" t="s">
        <v>222</v>
      </c>
      <c r="J18" s="304" t="s">
        <v>87</v>
      </c>
      <c r="K18" s="307">
        <v>43417</v>
      </c>
      <c r="L18" s="309">
        <v>45657</v>
      </c>
      <c r="M18" s="306" t="s">
        <v>205</v>
      </c>
      <c r="N18" s="304" t="s">
        <v>90</v>
      </c>
      <c r="O18" s="306" t="s">
        <v>71</v>
      </c>
      <c r="P18" s="304">
        <v>1</v>
      </c>
      <c r="Q18" s="304">
        <v>1</v>
      </c>
      <c r="R18" s="304">
        <v>1</v>
      </c>
      <c r="S18" s="308">
        <v>0</v>
      </c>
    </row>
    <row r="19" spans="1:19" ht="96">
      <c r="A19" s="303">
        <v>14</v>
      </c>
      <c r="B19" s="304">
        <v>56</v>
      </c>
      <c r="C19" s="305" t="s">
        <v>215</v>
      </c>
      <c r="D19" s="306" t="s">
        <v>216</v>
      </c>
      <c r="E19" s="305" t="s">
        <v>217</v>
      </c>
      <c r="F19" s="306" t="s">
        <v>79</v>
      </c>
      <c r="G19" s="306" t="s">
        <v>218</v>
      </c>
      <c r="H19" s="306" t="s">
        <v>248</v>
      </c>
      <c r="I19" s="306"/>
      <c r="J19" s="304" t="s">
        <v>87</v>
      </c>
      <c r="K19" s="307">
        <v>43418</v>
      </c>
      <c r="L19" s="309">
        <v>45657</v>
      </c>
      <c r="M19" s="306" t="s">
        <v>221</v>
      </c>
      <c r="N19" s="304" t="s">
        <v>90</v>
      </c>
      <c r="O19" s="306" t="s">
        <v>71</v>
      </c>
      <c r="P19" s="304">
        <v>1</v>
      </c>
      <c r="Q19" s="304">
        <v>1</v>
      </c>
      <c r="R19" s="304">
        <v>1</v>
      </c>
      <c r="S19" s="308">
        <v>0</v>
      </c>
    </row>
    <row r="20" spans="1:19" ht="96">
      <c r="A20" s="303">
        <v>15</v>
      </c>
      <c r="B20" s="304">
        <v>57</v>
      </c>
      <c r="C20" s="305" t="s">
        <v>215</v>
      </c>
      <c r="D20" s="306" t="s">
        <v>216</v>
      </c>
      <c r="E20" s="305" t="s">
        <v>217</v>
      </c>
      <c r="F20" s="306" t="s">
        <v>79</v>
      </c>
      <c r="G20" s="306" t="s">
        <v>218</v>
      </c>
      <c r="H20" s="306" t="s">
        <v>250</v>
      </c>
      <c r="I20" s="306" t="s">
        <v>251</v>
      </c>
      <c r="J20" s="304" t="s">
        <v>87</v>
      </c>
      <c r="K20" s="307">
        <v>43419</v>
      </c>
      <c r="L20" s="307">
        <v>43647</v>
      </c>
      <c r="M20" s="306" t="s">
        <v>221</v>
      </c>
      <c r="N20" s="304" t="s">
        <v>90</v>
      </c>
      <c r="O20" s="306" t="s">
        <v>71</v>
      </c>
      <c r="P20" s="304">
        <v>1</v>
      </c>
      <c r="Q20" s="304">
        <v>1</v>
      </c>
      <c r="R20" s="304">
        <v>1</v>
      </c>
      <c r="S20" s="308">
        <v>0</v>
      </c>
    </row>
    <row r="21" spans="1:19" ht="96">
      <c r="A21" s="303">
        <v>16</v>
      </c>
      <c r="B21" s="304">
        <v>58</v>
      </c>
      <c r="C21" s="305" t="s">
        <v>215</v>
      </c>
      <c r="D21" s="306" t="s">
        <v>216</v>
      </c>
      <c r="E21" s="305" t="s">
        <v>217</v>
      </c>
      <c r="F21" s="306" t="s">
        <v>79</v>
      </c>
      <c r="G21" s="306" t="s">
        <v>218</v>
      </c>
      <c r="H21" s="306" t="s">
        <v>252</v>
      </c>
      <c r="I21" s="306" t="s">
        <v>253</v>
      </c>
      <c r="J21" s="304" t="s">
        <v>87</v>
      </c>
      <c r="K21" s="307">
        <v>43420</v>
      </c>
      <c r="L21" s="307">
        <v>43677</v>
      </c>
      <c r="M21" s="306" t="s">
        <v>221</v>
      </c>
      <c r="N21" s="304" t="s">
        <v>90</v>
      </c>
      <c r="O21" s="306" t="s">
        <v>71</v>
      </c>
      <c r="P21" s="304">
        <v>1</v>
      </c>
      <c r="Q21" s="304">
        <v>1</v>
      </c>
      <c r="R21" s="304">
        <v>1</v>
      </c>
      <c r="S21" s="308">
        <v>0</v>
      </c>
    </row>
    <row r="22" spans="1:19" ht="96">
      <c r="A22" s="303">
        <v>17</v>
      </c>
      <c r="B22" s="304">
        <v>59</v>
      </c>
      <c r="C22" s="305" t="s">
        <v>215</v>
      </c>
      <c r="D22" s="306" t="s">
        <v>216</v>
      </c>
      <c r="E22" s="305" t="s">
        <v>217</v>
      </c>
      <c r="F22" s="306" t="s">
        <v>79</v>
      </c>
      <c r="G22" s="306" t="s">
        <v>218</v>
      </c>
      <c r="H22" s="306" t="s">
        <v>254</v>
      </c>
      <c r="I22" s="306" t="s">
        <v>255</v>
      </c>
      <c r="J22" s="304" t="s">
        <v>87</v>
      </c>
      <c r="K22" s="307">
        <v>43421</v>
      </c>
      <c r="L22" s="307">
        <v>43647</v>
      </c>
      <c r="M22" s="306" t="s">
        <v>89</v>
      </c>
      <c r="N22" s="304" t="s">
        <v>90</v>
      </c>
      <c r="O22" s="306" t="s">
        <v>71</v>
      </c>
      <c r="P22" s="304">
        <v>1</v>
      </c>
      <c r="Q22" s="304">
        <v>1</v>
      </c>
      <c r="R22" s="304">
        <v>1</v>
      </c>
      <c r="S22" s="308">
        <v>0</v>
      </c>
    </row>
    <row r="23" spans="1:19" ht="132">
      <c r="A23" s="303">
        <v>18</v>
      </c>
      <c r="B23" s="304">
        <v>60</v>
      </c>
      <c r="C23" s="305" t="s">
        <v>215</v>
      </c>
      <c r="D23" s="306" t="s">
        <v>216</v>
      </c>
      <c r="E23" s="305" t="s">
        <v>256</v>
      </c>
      <c r="F23" s="306" t="s">
        <v>22</v>
      </c>
      <c r="G23" s="306" t="s">
        <v>257</v>
      </c>
      <c r="H23" s="306" t="s">
        <v>258</v>
      </c>
      <c r="I23" s="306" t="s">
        <v>259</v>
      </c>
      <c r="J23" s="304" t="s">
        <v>87</v>
      </c>
      <c r="K23" s="307">
        <v>43405</v>
      </c>
      <c r="L23" s="307">
        <v>43646</v>
      </c>
      <c r="M23" s="306" t="s">
        <v>89</v>
      </c>
      <c r="N23" s="304" t="s">
        <v>90</v>
      </c>
      <c r="O23" s="306" t="s">
        <v>51</v>
      </c>
      <c r="P23" s="304">
        <v>1</v>
      </c>
      <c r="Q23" s="304">
        <v>1</v>
      </c>
      <c r="R23" s="304">
        <v>1</v>
      </c>
      <c r="S23" s="308">
        <v>0</v>
      </c>
    </row>
    <row r="24" spans="1:19" ht="84">
      <c r="A24" s="303">
        <v>19</v>
      </c>
      <c r="B24" s="304">
        <v>61</v>
      </c>
      <c r="C24" s="305" t="s">
        <v>215</v>
      </c>
      <c r="D24" s="306" t="s">
        <v>216</v>
      </c>
      <c r="E24" s="305" t="s">
        <v>256</v>
      </c>
      <c r="F24" s="306" t="s">
        <v>22</v>
      </c>
      <c r="G24" s="306" t="s">
        <v>257</v>
      </c>
      <c r="H24" s="306" t="s">
        <v>262</v>
      </c>
      <c r="I24" s="306" t="s">
        <v>263</v>
      </c>
      <c r="J24" s="304" t="s">
        <v>87</v>
      </c>
      <c r="K24" s="307">
        <v>43405</v>
      </c>
      <c r="L24" s="309">
        <v>43809</v>
      </c>
      <c r="M24" s="306" t="s">
        <v>89</v>
      </c>
      <c r="N24" s="304" t="s">
        <v>90</v>
      </c>
      <c r="O24" s="306" t="s">
        <v>51</v>
      </c>
      <c r="P24" s="304">
        <v>1</v>
      </c>
      <c r="Q24" s="304">
        <v>1</v>
      </c>
      <c r="R24" s="304">
        <v>1</v>
      </c>
      <c r="S24" s="308">
        <v>0</v>
      </c>
    </row>
    <row r="25" spans="1:19" ht="84">
      <c r="A25" s="303">
        <v>20</v>
      </c>
      <c r="B25" s="304">
        <v>62</v>
      </c>
      <c r="C25" s="305" t="s">
        <v>215</v>
      </c>
      <c r="D25" s="306" t="s">
        <v>216</v>
      </c>
      <c r="E25" s="305" t="s">
        <v>256</v>
      </c>
      <c r="F25" s="306" t="s">
        <v>22</v>
      </c>
      <c r="G25" s="306" t="s">
        <v>257</v>
      </c>
      <c r="H25" s="306" t="s">
        <v>264</v>
      </c>
      <c r="I25" s="306" t="s">
        <v>265</v>
      </c>
      <c r="J25" s="304" t="s">
        <v>87</v>
      </c>
      <c r="K25" s="307">
        <v>43405</v>
      </c>
      <c r="L25" s="309">
        <v>45657</v>
      </c>
      <c r="M25" s="306" t="s">
        <v>205</v>
      </c>
      <c r="N25" s="304" t="s">
        <v>96</v>
      </c>
      <c r="O25" s="306" t="s">
        <v>51</v>
      </c>
      <c r="P25" s="304">
        <v>1</v>
      </c>
      <c r="Q25" s="304">
        <v>1</v>
      </c>
      <c r="R25" s="304">
        <v>1</v>
      </c>
      <c r="S25" s="308">
        <v>0</v>
      </c>
    </row>
    <row r="26" spans="1:19" ht="144">
      <c r="A26" s="303">
        <v>21</v>
      </c>
      <c r="B26" s="304">
        <v>63</v>
      </c>
      <c r="C26" s="305" t="s">
        <v>215</v>
      </c>
      <c r="D26" s="306" t="s">
        <v>216</v>
      </c>
      <c r="E26" s="305" t="s">
        <v>256</v>
      </c>
      <c r="F26" s="306" t="s">
        <v>22</v>
      </c>
      <c r="G26" s="306" t="s">
        <v>257</v>
      </c>
      <c r="H26" s="306" t="s">
        <v>260</v>
      </c>
      <c r="I26" s="306" t="s">
        <v>266</v>
      </c>
      <c r="J26" s="304" t="s">
        <v>87</v>
      </c>
      <c r="K26" s="307">
        <v>43405</v>
      </c>
      <c r="L26" s="309">
        <v>45657</v>
      </c>
      <c r="M26" s="306" t="s">
        <v>205</v>
      </c>
      <c r="N26" s="304" t="s">
        <v>96</v>
      </c>
      <c r="O26" s="306" t="s">
        <v>55</v>
      </c>
      <c r="P26" s="304">
        <v>1</v>
      </c>
      <c r="Q26" s="304">
        <v>1</v>
      </c>
      <c r="R26" s="304">
        <v>1</v>
      </c>
      <c r="S26" s="308">
        <v>0</v>
      </c>
    </row>
    <row r="27" spans="1:19" ht="144">
      <c r="A27" s="303">
        <v>22</v>
      </c>
      <c r="B27" s="304">
        <v>64</v>
      </c>
      <c r="C27" s="305" t="s">
        <v>215</v>
      </c>
      <c r="D27" s="306" t="s">
        <v>216</v>
      </c>
      <c r="E27" s="305" t="s">
        <v>256</v>
      </c>
      <c r="F27" s="306" t="s">
        <v>22</v>
      </c>
      <c r="G27" s="306" t="s">
        <v>257</v>
      </c>
      <c r="H27" s="306" t="s">
        <v>269</v>
      </c>
      <c r="I27" s="306" t="s">
        <v>270</v>
      </c>
      <c r="J27" s="304" t="s">
        <v>87</v>
      </c>
      <c r="K27" s="307">
        <v>43405</v>
      </c>
      <c r="L27" s="309">
        <v>45657</v>
      </c>
      <c r="M27" s="306" t="s">
        <v>209</v>
      </c>
      <c r="N27" s="304" t="s">
        <v>96</v>
      </c>
      <c r="O27" s="306" t="s">
        <v>51</v>
      </c>
      <c r="P27" s="304">
        <v>1</v>
      </c>
      <c r="Q27" s="304">
        <v>1</v>
      </c>
      <c r="R27" s="304">
        <v>1</v>
      </c>
      <c r="S27" s="308">
        <v>0</v>
      </c>
    </row>
    <row r="28" spans="1:19" ht="84">
      <c r="A28" s="303">
        <v>23</v>
      </c>
      <c r="B28" s="304">
        <v>65</v>
      </c>
      <c r="C28" s="305" t="s">
        <v>215</v>
      </c>
      <c r="D28" s="306" t="s">
        <v>216</v>
      </c>
      <c r="E28" s="305" t="s">
        <v>256</v>
      </c>
      <c r="F28" s="306" t="s">
        <v>22</v>
      </c>
      <c r="G28" s="306" t="s">
        <v>257</v>
      </c>
      <c r="H28" s="306" t="s">
        <v>284</v>
      </c>
      <c r="I28" s="306" t="s">
        <v>285</v>
      </c>
      <c r="J28" s="304" t="s">
        <v>87</v>
      </c>
      <c r="K28" s="307">
        <v>43405</v>
      </c>
      <c r="L28" s="309">
        <v>45657</v>
      </c>
      <c r="M28" s="306" t="s">
        <v>209</v>
      </c>
      <c r="N28" s="304" t="s">
        <v>96</v>
      </c>
      <c r="O28" s="306" t="s">
        <v>51</v>
      </c>
      <c r="P28" s="304">
        <v>1</v>
      </c>
      <c r="Q28" s="304">
        <v>1</v>
      </c>
      <c r="R28" s="304">
        <v>1</v>
      </c>
      <c r="S28" s="308">
        <v>0</v>
      </c>
    </row>
    <row r="29" spans="1:19" ht="84">
      <c r="A29" s="303">
        <v>24</v>
      </c>
      <c r="B29" s="304">
        <v>66</v>
      </c>
      <c r="C29" s="305" t="s">
        <v>215</v>
      </c>
      <c r="D29" s="306" t="s">
        <v>216</v>
      </c>
      <c r="E29" s="305" t="s">
        <v>256</v>
      </c>
      <c r="F29" s="306" t="s">
        <v>22</v>
      </c>
      <c r="G29" s="306" t="s">
        <v>257</v>
      </c>
      <c r="H29" s="306" t="s">
        <v>291</v>
      </c>
      <c r="I29" s="306" t="s">
        <v>292</v>
      </c>
      <c r="J29" s="304" t="s">
        <v>87</v>
      </c>
      <c r="K29" s="307">
        <v>43405</v>
      </c>
      <c r="L29" s="309">
        <v>45657</v>
      </c>
      <c r="M29" s="306" t="s">
        <v>99</v>
      </c>
      <c r="N29" s="304" t="s">
        <v>96</v>
      </c>
      <c r="O29" s="306" t="s">
        <v>51</v>
      </c>
      <c r="P29" s="304">
        <v>1</v>
      </c>
      <c r="Q29" s="304">
        <v>1</v>
      </c>
      <c r="R29" s="304">
        <v>1</v>
      </c>
      <c r="S29" s="308">
        <v>0</v>
      </c>
    </row>
    <row r="30" spans="1:19" ht="84">
      <c r="A30" s="303">
        <v>25</v>
      </c>
      <c r="B30" s="304">
        <v>67</v>
      </c>
      <c r="C30" s="305" t="s">
        <v>215</v>
      </c>
      <c r="D30" s="306" t="s">
        <v>216</v>
      </c>
      <c r="E30" s="305" t="s">
        <v>256</v>
      </c>
      <c r="F30" s="306" t="s">
        <v>22</v>
      </c>
      <c r="G30" s="306" t="s">
        <v>257</v>
      </c>
      <c r="H30" s="306" t="s">
        <v>295</v>
      </c>
      <c r="I30" s="306" t="s">
        <v>296</v>
      </c>
      <c r="J30" s="304" t="s">
        <v>87</v>
      </c>
      <c r="K30" s="307">
        <v>43405</v>
      </c>
      <c r="L30" s="309">
        <v>44561</v>
      </c>
      <c r="M30" s="306" t="s">
        <v>209</v>
      </c>
      <c r="N30" s="304" t="s">
        <v>96</v>
      </c>
      <c r="O30" s="306" t="s">
        <v>51</v>
      </c>
      <c r="P30" s="304">
        <v>1</v>
      </c>
      <c r="Q30" s="304">
        <v>1</v>
      </c>
      <c r="R30" s="304">
        <v>1</v>
      </c>
      <c r="S30" s="308">
        <v>0</v>
      </c>
    </row>
    <row r="31" spans="1:19" ht="84">
      <c r="A31" s="303">
        <v>26</v>
      </c>
      <c r="B31" s="304">
        <v>68</v>
      </c>
      <c r="C31" s="305" t="s">
        <v>215</v>
      </c>
      <c r="D31" s="306" t="s">
        <v>216</v>
      </c>
      <c r="E31" s="305" t="s">
        <v>256</v>
      </c>
      <c r="F31" s="306" t="s">
        <v>22</v>
      </c>
      <c r="G31" s="306" t="s">
        <v>257</v>
      </c>
      <c r="H31" s="306" t="s">
        <v>302</v>
      </c>
      <c r="I31" s="306" t="s">
        <v>303</v>
      </c>
      <c r="J31" s="304" t="s">
        <v>87</v>
      </c>
      <c r="K31" s="307">
        <v>43405</v>
      </c>
      <c r="L31" s="309">
        <v>44561</v>
      </c>
      <c r="M31" s="306" t="s">
        <v>205</v>
      </c>
      <c r="N31" s="304" t="s">
        <v>96</v>
      </c>
      <c r="O31" s="306" t="s">
        <v>51</v>
      </c>
      <c r="P31" s="304">
        <v>1</v>
      </c>
      <c r="Q31" s="304">
        <v>1</v>
      </c>
      <c r="R31" s="304">
        <v>1</v>
      </c>
      <c r="S31" s="308">
        <v>0</v>
      </c>
    </row>
    <row r="32" spans="1:19" ht="144">
      <c r="A32" s="303">
        <v>27</v>
      </c>
      <c r="B32" s="304">
        <v>69</v>
      </c>
      <c r="C32" s="305" t="s">
        <v>215</v>
      </c>
      <c r="D32" s="306" t="s">
        <v>216</v>
      </c>
      <c r="E32" s="305" t="s">
        <v>256</v>
      </c>
      <c r="F32" s="306" t="s">
        <v>22</v>
      </c>
      <c r="G32" s="306" t="s">
        <v>257</v>
      </c>
      <c r="H32" s="306" t="s">
        <v>312</v>
      </c>
      <c r="I32" s="306" t="s">
        <v>314</v>
      </c>
      <c r="J32" s="304" t="s">
        <v>87</v>
      </c>
      <c r="K32" s="307">
        <v>43405</v>
      </c>
      <c r="L32" s="309">
        <v>45657</v>
      </c>
      <c r="M32" s="306" t="s">
        <v>205</v>
      </c>
      <c r="N32" s="304" t="s">
        <v>96</v>
      </c>
      <c r="O32" s="306" t="s">
        <v>51</v>
      </c>
      <c r="P32" s="304">
        <v>1</v>
      </c>
      <c r="Q32" s="304">
        <v>1</v>
      </c>
      <c r="R32" s="304">
        <v>1</v>
      </c>
      <c r="S32" s="308">
        <v>0</v>
      </c>
    </row>
    <row r="33" spans="1:19" ht="120">
      <c r="A33" s="303">
        <v>28</v>
      </c>
      <c r="B33" s="304">
        <v>70</v>
      </c>
      <c r="C33" s="305" t="s">
        <v>215</v>
      </c>
      <c r="D33" s="306" t="s">
        <v>216</v>
      </c>
      <c r="E33" s="305" t="s">
        <v>256</v>
      </c>
      <c r="F33" s="306" t="s">
        <v>22</v>
      </c>
      <c r="G33" s="306" t="s">
        <v>257</v>
      </c>
      <c r="H33" s="306" t="s">
        <v>325</v>
      </c>
      <c r="I33" s="306" t="s">
        <v>326</v>
      </c>
      <c r="J33" s="304" t="s">
        <v>87</v>
      </c>
      <c r="K33" s="307">
        <v>43405</v>
      </c>
      <c r="L33" s="309">
        <v>44926</v>
      </c>
      <c r="M33" s="306" t="s">
        <v>205</v>
      </c>
      <c r="N33" s="304" t="s">
        <v>96</v>
      </c>
      <c r="O33" s="306" t="s">
        <v>55</v>
      </c>
      <c r="P33" s="304">
        <v>1</v>
      </c>
      <c r="Q33" s="304">
        <v>1</v>
      </c>
      <c r="R33" s="304">
        <v>1</v>
      </c>
      <c r="S33" s="308">
        <v>0</v>
      </c>
    </row>
    <row r="34" spans="1:19" ht="144">
      <c r="A34" s="303">
        <v>29</v>
      </c>
      <c r="B34" s="304">
        <v>71</v>
      </c>
      <c r="C34" s="305" t="s">
        <v>215</v>
      </c>
      <c r="D34" s="306" t="s">
        <v>216</v>
      </c>
      <c r="E34" s="305" t="s">
        <v>256</v>
      </c>
      <c r="F34" s="306" t="s">
        <v>22</v>
      </c>
      <c r="G34" s="306" t="s">
        <v>257</v>
      </c>
      <c r="H34" s="306" t="s">
        <v>340</v>
      </c>
      <c r="I34" s="306" t="s">
        <v>342</v>
      </c>
      <c r="J34" s="304" t="s">
        <v>97</v>
      </c>
      <c r="K34" s="307">
        <v>43405</v>
      </c>
      <c r="L34" s="309">
        <v>44926</v>
      </c>
      <c r="M34" s="306" t="s">
        <v>344</v>
      </c>
      <c r="N34" s="304" t="s">
        <v>96</v>
      </c>
      <c r="O34" s="306" t="s">
        <v>51</v>
      </c>
      <c r="P34" s="304">
        <v>1</v>
      </c>
      <c r="Q34" s="304">
        <v>1</v>
      </c>
      <c r="R34" s="304">
        <v>1</v>
      </c>
      <c r="S34" s="308">
        <v>0</v>
      </c>
    </row>
    <row r="35" spans="1:19" ht="132">
      <c r="A35" s="303">
        <v>30</v>
      </c>
      <c r="B35" s="304">
        <v>72</v>
      </c>
      <c r="C35" s="305" t="s">
        <v>215</v>
      </c>
      <c r="D35" s="306" t="s">
        <v>216</v>
      </c>
      <c r="E35" s="305" t="s">
        <v>256</v>
      </c>
      <c r="F35" s="306" t="s">
        <v>22</v>
      </c>
      <c r="G35" s="306" t="s">
        <v>257</v>
      </c>
      <c r="H35" s="306" t="s">
        <v>353</v>
      </c>
      <c r="I35" s="306" t="s">
        <v>354</v>
      </c>
      <c r="J35" s="304" t="s">
        <v>87</v>
      </c>
      <c r="K35" s="307">
        <v>43405</v>
      </c>
      <c r="L35" s="309">
        <v>45657</v>
      </c>
      <c r="M35" s="306" t="s">
        <v>209</v>
      </c>
      <c r="N35" s="304" t="s">
        <v>96</v>
      </c>
      <c r="O35" s="306" t="s">
        <v>51</v>
      </c>
      <c r="P35" s="304">
        <v>1</v>
      </c>
      <c r="Q35" s="304">
        <v>1</v>
      </c>
      <c r="R35" s="304">
        <v>1</v>
      </c>
      <c r="S35" s="308">
        <v>0</v>
      </c>
    </row>
    <row r="36" spans="1:19" ht="84">
      <c r="A36" s="303">
        <v>31</v>
      </c>
      <c r="B36" s="304">
        <v>73</v>
      </c>
      <c r="C36" s="305" t="s">
        <v>215</v>
      </c>
      <c r="D36" s="306" t="s">
        <v>216</v>
      </c>
      <c r="E36" s="305" t="s">
        <v>256</v>
      </c>
      <c r="F36" s="306" t="s">
        <v>22</v>
      </c>
      <c r="G36" s="306" t="s">
        <v>257</v>
      </c>
      <c r="H36" s="306" t="s">
        <v>361</v>
      </c>
      <c r="I36" s="306" t="s">
        <v>362</v>
      </c>
      <c r="J36" s="304" t="s">
        <v>87</v>
      </c>
      <c r="K36" s="307">
        <v>43405</v>
      </c>
      <c r="L36" s="309">
        <v>45657</v>
      </c>
      <c r="M36" s="306" t="s">
        <v>209</v>
      </c>
      <c r="N36" s="304" t="s">
        <v>96</v>
      </c>
      <c r="O36" s="306" t="s">
        <v>51</v>
      </c>
      <c r="P36" s="304">
        <v>1</v>
      </c>
      <c r="Q36" s="304">
        <v>1</v>
      </c>
      <c r="R36" s="304">
        <v>1</v>
      </c>
      <c r="S36" s="308">
        <v>0</v>
      </c>
    </row>
    <row r="37" spans="1:19" ht="84">
      <c r="A37" s="303">
        <v>32</v>
      </c>
      <c r="B37" s="304">
        <v>74</v>
      </c>
      <c r="C37" s="305" t="s">
        <v>215</v>
      </c>
      <c r="D37" s="306" t="s">
        <v>216</v>
      </c>
      <c r="E37" s="305" t="s">
        <v>256</v>
      </c>
      <c r="F37" s="306" t="s">
        <v>22</v>
      </c>
      <c r="G37" s="306" t="s">
        <v>257</v>
      </c>
      <c r="H37" s="306" t="s">
        <v>372</v>
      </c>
      <c r="I37" s="306" t="s">
        <v>373</v>
      </c>
      <c r="J37" s="304" t="s">
        <v>87</v>
      </c>
      <c r="K37" s="307">
        <v>43405</v>
      </c>
      <c r="L37" s="309">
        <v>43830</v>
      </c>
      <c r="M37" s="306" t="s">
        <v>205</v>
      </c>
      <c r="N37" s="304" t="s">
        <v>96</v>
      </c>
      <c r="O37" s="306" t="s">
        <v>51</v>
      </c>
      <c r="P37" s="304">
        <v>1</v>
      </c>
      <c r="Q37" s="304">
        <v>1</v>
      </c>
      <c r="R37" s="304">
        <v>1</v>
      </c>
      <c r="S37" s="308">
        <v>0</v>
      </c>
    </row>
    <row r="38" spans="1:19" ht="262">
      <c r="A38" s="303">
        <v>33</v>
      </c>
      <c r="B38" s="304">
        <v>75</v>
      </c>
      <c r="C38" s="305" t="s">
        <v>215</v>
      </c>
      <c r="D38" s="306" t="s">
        <v>216</v>
      </c>
      <c r="E38" s="305" t="s">
        <v>256</v>
      </c>
      <c r="F38" s="306" t="s">
        <v>22</v>
      </c>
      <c r="G38" s="306" t="s">
        <v>257</v>
      </c>
      <c r="H38" s="306" t="s">
        <v>379</v>
      </c>
      <c r="I38" s="306" t="s">
        <v>3415</v>
      </c>
      <c r="J38" s="304" t="s">
        <v>87</v>
      </c>
      <c r="K38" s="307">
        <v>43405</v>
      </c>
      <c r="L38" s="309">
        <v>45657</v>
      </c>
      <c r="M38" s="306" t="s">
        <v>99</v>
      </c>
      <c r="N38" s="304" t="s">
        <v>96</v>
      </c>
      <c r="O38" s="306" t="s">
        <v>51</v>
      </c>
      <c r="P38" s="304">
        <v>1</v>
      </c>
      <c r="Q38" s="304">
        <v>1</v>
      </c>
      <c r="R38" s="304">
        <v>1</v>
      </c>
      <c r="S38" s="308">
        <v>0</v>
      </c>
    </row>
    <row r="39" spans="1:19" ht="228">
      <c r="A39" s="303">
        <v>34</v>
      </c>
      <c r="B39" s="304">
        <v>76</v>
      </c>
      <c r="C39" s="305" t="s">
        <v>215</v>
      </c>
      <c r="D39" s="306" t="s">
        <v>216</v>
      </c>
      <c r="E39" s="305" t="s">
        <v>256</v>
      </c>
      <c r="F39" s="306" t="s">
        <v>22</v>
      </c>
      <c r="G39" s="306" t="s">
        <v>257</v>
      </c>
      <c r="H39" s="306" t="s">
        <v>388</v>
      </c>
      <c r="I39" s="306" t="s">
        <v>389</v>
      </c>
      <c r="J39" s="304" t="s">
        <v>87</v>
      </c>
      <c r="K39" s="307">
        <v>43405</v>
      </c>
      <c r="L39" s="307">
        <v>43555</v>
      </c>
      <c r="M39" s="306" t="s">
        <v>89</v>
      </c>
      <c r="N39" s="304" t="s">
        <v>90</v>
      </c>
      <c r="O39" s="306" t="s">
        <v>51</v>
      </c>
      <c r="P39" s="304">
        <v>1</v>
      </c>
      <c r="Q39" s="304">
        <v>1</v>
      </c>
      <c r="R39" s="304">
        <v>1</v>
      </c>
      <c r="S39" s="308">
        <v>0</v>
      </c>
    </row>
    <row r="40" spans="1:19" ht="251">
      <c r="A40" s="303">
        <v>35</v>
      </c>
      <c r="B40" s="304">
        <v>77</v>
      </c>
      <c r="C40" s="305" t="s">
        <v>215</v>
      </c>
      <c r="D40" s="306" t="s">
        <v>216</v>
      </c>
      <c r="E40" s="305" t="s">
        <v>256</v>
      </c>
      <c r="F40" s="306" t="s">
        <v>22</v>
      </c>
      <c r="G40" s="306" t="s">
        <v>257</v>
      </c>
      <c r="H40" s="306" t="s">
        <v>398</v>
      </c>
      <c r="I40" s="306" t="s">
        <v>399</v>
      </c>
      <c r="J40" s="304" t="s">
        <v>87</v>
      </c>
      <c r="K40" s="307">
        <v>43405</v>
      </c>
      <c r="L40" s="307">
        <v>43555</v>
      </c>
      <c r="M40" s="306" t="s">
        <v>89</v>
      </c>
      <c r="N40" s="304" t="s">
        <v>90</v>
      </c>
      <c r="O40" s="306" t="s">
        <v>51</v>
      </c>
      <c r="P40" s="304">
        <v>1</v>
      </c>
      <c r="Q40" s="304">
        <v>1</v>
      </c>
      <c r="R40" s="304">
        <v>1</v>
      </c>
      <c r="S40" s="308">
        <v>0</v>
      </c>
    </row>
    <row r="41" spans="1:19" ht="84">
      <c r="A41" s="303">
        <v>36</v>
      </c>
      <c r="B41" s="304">
        <v>78</v>
      </c>
      <c r="C41" s="305" t="s">
        <v>215</v>
      </c>
      <c r="D41" s="306" t="s">
        <v>216</v>
      </c>
      <c r="E41" s="305" t="s">
        <v>256</v>
      </c>
      <c r="F41" s="306" t="s">
        <v>22</v>
      </c>
      <c r="G41" s="306" t="s">
        <v>257</v>
      </c>
      <c r="H41" s="306" t="s">
        <v>405</v>
      </c>
      <c r="I41" s="306" t="s">
        <v>405</v>
      </c>
      <c r="J41" s="304" t="s">
        <v>87</v>
      </c>
      <c r="K41" s="307">
        <v>43405</v>
      </c>
      <c r="L41" s="309">
        <v>43769</v>
      </c>
      <c r="M41" s="306" t="s">
        <v>89</v>
      </c>
      <c r="N41" s="304" t="s">
        <v>90</v>
      </c>
      <c r="O41" s="306" t="s">
        <v>51</v>
      </c>
      <c r="P41" s="304">
        <v>1</v>
      </c>
      <c r="Q41" s="304">
        <v>1</v>
      </c>
      <c r="R41" s="304">
        <v>1</v>
      </c>
      <c r="S41" s="308">
        <v>0</v>
      </c>
    </row>
    <row r="42" spans="1:19" ht="120">
      <c r="A42" s="303">
        <v>37</v>
      </c>
      <c r="B42" s="304">
        <v>79</v>
      </c>
      <c r="C42" s="305" t="s">
        <v>215</v>
      </c>
      <c r="D42" s="306" t="s">
        <v>216</v>
      </c>
      <c r="E42" s="305" t="s">
        <v>256</v>
      </c>
      <c r="F42" s="306" t="s">
        <v>22</v>
      </c>
      <c r="G42" s="306" t="s">
        <v>257</v>
      </c>
      <c r="H42" s="306" t="s">
        <v>400</v>
      </c>
      <c r="I42" s="306" t="s">
        <v>413</v>
      </c>
      <c r="J42" s="304" t="s">
        <v>87</v>
      </c>
      <c r="K42" s="307">
        <v>43405</v>
      </c>
      <c r="L42" s="309">
        <v>43769</v>
      </c>
      <c r="M42" s="306" t="s">
        <v>89</v>
      </c>
      <c r="N42" s="304" t="s">
        <v>90</v>
      </c>
      <c r="O42" s="306" t="s">
        <v>51</v>
      </c>
      <c r="P42" s="304">
        <v>1</v>
      </c>
      <c r="Q42" s="304">
        <v>1</v>
      </c>
      <c r="R42" s="304">
        <v>1</v>
      </c>
      <c r="S42" s="308">
        <v>0</v>
      </c>
    </row>
    <row r="43" spans="1:19" ht="228">
      <c r="A43" s="303">
        <v>38</v>
      </c>
      <c r="B43" s="304">
        <v>80</v>
      </c>
      <c r="C43" s="305" t="s">
        <v>215</v>
      </c>
      <c r="D43" s="306" t="s">
        <v>216</v>
      </c>
      <c r="E43" s="305" t="s">
        <v>256</v>
      </c>
      <c r="F43" s="306" t="s">
        <v>22</v>
      </c>
      <c r="G43" s="306" t="s">
        <v>257</v>
      </c>
      <c r="H43" s="306" t="s">
        <v>421</v>
      </c>
      <c r="I43" s="306" t="s">
        <v>422</v>
      </c>
      <c r="J43" s="304" t="s">
        <v>87</v>
      </c>
      <c r="K43" s="307">
        <v>43405</v>
      </c>
      <c r="L43" s="309">
        <v>45657</v>
      </c>
      <c r="M43" s="306" t="s">
        <v>89</v>
      </c>
      <c r="N43" s="304" t="s">
        <v>96</v>
      </c>
      <c r="O43" s="306" t="s">
        <v>51</v>
      </c>
      <c r="P43" s="304">
        <v>1</v>
      </c>
      <c r="Q43" s="304">
        <v>1</v>
      </c>
      <c r="R43" s="304">
        <v>1</v>
      </c>
      <c r="S43" s="308">
        <v>0</v>
      </c>
    </row>
    <row r="44" spans="1:19" ht="84">
      <c r="A44" s="303">
        <v>39</v>
      </c>
      <c r="B44" s="304">
        <v>81</v>
      </c>
      <c r="C44" s="305" t="s">
        <v>215</v>
      </c>
      <c r="D44" s="306" t="s">
        <v>216</v>
      </c>
      <c r="E44" s="305" t="s">
        <v>256</v>
      </c>
      <c r="F44" s="306" t="s">
        <v>22</v>
      </c>
      <c r="G44" s="306" t="s">
        <v>257</v>
      </c>
      <c r="H44" s="306" t="s">
        <v>392</v>
      </c>
      <c r="I44" s="306" t="s">
        <v>392</v>
      </c>
      <c r="J44" s="304" t="s">
        <v>87</v>
      </c>
      <c r="K44" s="307">
        <v>43405</v>
      </c>
      <c r="L44" s="309">
        <v>44561</v>
      </c>
      <c r="M44" s="306" t="s">
        <v>89</v>
      </c>
      <c r="N44" s="304" t="s">
        <v>96</v>
      </c>
      <c r="O44" s="306" t="s">
        <v>51</v>
      </c>
      <c r="P44" s="304">
        <v>1</v>
      </c>
      <c r="Q44" s="304">
        <v>1</v>
      </c>
      <c r="R44" s="304">
        <v>1</v>
      </c>
      <c r="S44" s="308">
        <v>0</v>
      </c>
    </row>
    <row r="45" spans="1:19" ht="84">
      <c r="A45" s="303">
        <v>40</v>
      </c>
      <c r="B45" s="304">
        <v>82</v>
      </c>
      <c r="C45" s="305" t="s">
        <v>215</v>
      </c>
      <c r="D45" s="306" t="s">
        <v>216</v>
      </c>
      <c r="E45" s="305" t="s">
        <v>256</v>
      </c>
      <c r="F45" s="306" t="s">
        <v>22</v>
      </c>
      <c r="G45" s="306" t="s">
        <v>257</v>
      </c>
      <c r="H45" s="306" t="s">
        <v>438</v>
      </c>
      <c r="I45" s="306" t="s">
        <v>438</v>
      </c>
      <c r="J45" s="304" t="s">
        <v>87</v>
      </c>
      <c r="K45" s="307">
        <v>43405</v>
      </c>
      <c r="L45" s="309">
        <v>44561</v>
      </c>
      <c r="M45" s="306" t="s">
        <v>439</v>
      </c>
      <c r="N45" s="304" t="s">
        <v>96</v>
      </c>
      <c r="O45" s="306" t="s">
        <v>51</v>
      </c>
      <c r="P45" s="304">
        <v>1</v>
      </c>
      <c r="Q45" s="304">
        <v>1</v>
      </c>
      <c r="R45" s="304">
        <v>1</v>
      </c>
      <c r="S45" s="308">
        <v>0</v>
      </c>
    </row>
    <row r="46" spans="1:19" ht="84">
      <c r="A46" s="303">
        <v>41</v>
      </c>
      <c r="B46" s="304">
        <v>83</v>
      </c>
      <c r="C46" s="305" t="s">
        <v>215</v>
      </c>
      <c r="D46" s="306" t="s">
        <v>216</v>
      </c>
      <c r="E46" s="305" t="s">
        <v>256</v>
      </c>
      <c r="F46" s="306" t="s">
        <v>22</v>
      </c>
      <c r="G46" s="306" t="s">
        <v>257</v>
      </c>
      <c r="H46" s="306" t="s">
        <v>451</v>
      </c>
      <c r="I46" s="306" t="s">
        <v>452</v>
      </c>
      <c r="J46" s="304" t="s">
        <v>87</v>
      </c>
      <c r="K46" s="307">
        <v>43405</v>
      </c>
      <c r="L46" s="309">
        <v>45657</v>
      </c>
      <c r="M46" s="306" t="s">
        <v>99</v>
      </c>
      <c r="N46" s="304" t="s">
        <v>90</v>
      </c>
      <c r="O46" s="306" t="s">
        <v>51</v>
      </c>
      <c r="P46" s="304">
        <v>1</v>
      </c>
      <c r="Q46" s="304">
        <v>1</v>
      </c>
      <c r="R46" s="304">
        <v>1</v>
      </c>
      <c r="S46" s="308">
        <v>0</v>
      </c>
    </row>
    <row r="47" spans="1:19" ht="156">
      <c r="A47" s="303">
        <v>42</v>
      </c>
      <c r="B47" s="304">
        <v>84</v>
      </c>
      <c r="C47" s="305" t="s">
        <v>215</v>
      </c>
      <c r="D47" s="306" t="s">
        <v>216</v>
      </c>
      <c r="E47" s="305" t="s">
        <v>256</v>
      </c>
      <c r="F47" s="306" t="s">
        <v>22</v>
      </c>
      <c r="G47" s="306" t="s">
        <v>257</v>
      </c>
      <c r="H47" s="306" t="s">
        <v>460</v>
      </c>
      <c r="I47" s="306" t="s">
        <v>461</v>
      </c>
      <c r="J47" s="304" t="s">
        <v>87</v>
      </c>
      <c r="K47" s="307">
        <v>43405</v>
      </c>
      <c r="L47" s="307">
        <v>43738</v>
      </c>
      <c r="M47" s="306" t="s">
        <v>89</v>
      </c>
      <c r="N47" s="304" t="s">
        <v>90</v>
      </c>
      <c r="O47" s="306" t="s">
        <v>51</v>
      </c>
      <c r="P47" s="304">
        <v>1</v>
      </c>
      <c r="Q47" s="304">
        <v>1</v>
      </c>
      <c r="R47" s="304">
        <v>1</v>
      </c>
      <c r="S47" s="308">
        <v>0</v>
      </c>
    </row>
    <row r="48" spans="1:19" ht="84">
      <c r="A48" s="303">
        <v>43</v>
      </c>
      <c r="B48" s="304">
        <v>85</v>
      </c>
      <c r="C48" s="305" t="s">
        <v>215</v>
      </c>
      <c r="D48" s="306" t="s">
        <v>216</v>
      </c>
      <c r="E48" s="305" t="s">
        <v>256</v>
      </c>
      <c r="F48" s="306" t="s">
        <v>22</v>
      </c>
      <c r="G48" s="306" t="s">
        <v>257</v>
      </c>
      <c r="H48" s="306" t="s">
        <v>467</v>
      </c>
      <c r="I48" s="306" t="s">
        <v>468</v>
      </c>
      <c r="J48" s="304" t="s">
        <v>87</v>
      </c>
      <c r="K48" s="307">
        <v>43405</v>
      </c>
      <c r="L48" s="309">
        <v>45657</v>
      </c>
      <c r="M48" s="306" t="s">
        <v>209</v>
      </c>
      <c r="N48" s="304" t="s">
        <v>90</v>
      </c>
      <c r="O48" s="306" t="s">
        <v>51</v>
      </c>
      <c r="P48" s="304">
        <v>1</v>
      </c>
      <c r="Q48" s="304">
        <v>1</v>
      </c>
      <c r="R48" s="304">
        <v>1</v>
      </c>
      <c r="S48" s="308">
        <v>0</v>
      </c>
    </row>
    <row r="49" spans="1:19" ht="84">
      <c r="A49" s="303">
        <v>44</v>
      </c>
      <c r="B49" s="304">
        <v>86</v>
      </c>
      <c r="C49" s="305" t="s">
        <v>215</v>
      </c>
      <c r="D49" s="306" t="s">
        <v>216</v>
      </c>
      <c r="E49" s="305" t="s">
        <v>256</v>
      </c>
      <c r="F49" s="306" t="s">
        <v>22</v>
      </c>
      <c r="G49" s="306" t="s">
        <v>257</v>
      </c>
      <c r="H49" s="306" t="s">
        <v>481</v>
      </c>
      <c r="I49" s="306" t="s">
        <v>482</v>
      </c>
      <c r="J49" s="304" t="s">
        <v>87</v>
      </c>
      <c r="K49" s="307">
        <v>43405</v>
      </c>
      <c r="L49" s="307">
        <v>43555</v>
      </c>
      <c r="M49" s="306" t="s">
        <v>89</v>
      </c>
      <c r="N49" s="304" t="s">
        <v>90</v>
      </c>
      <c r="O49" s="306" t="s">
        <v>51</v>
      </c>
      <c r="P49" s="304">
        <v>1</v>
      </c>
      <c r="Q49" s="304">
        <v>1</v>
      </c>
      <c r="R49" s="304">
        <v>1</v>
      </c>
      <c r="S49" s="308">
        <v>0</v>
      </c>
    </row>
    <row r="50" spans="1:19" ht="84">
      <c r="A50" s="303">
        <v>45</v>
      </c>
      <c r="B50" s="304">
        <v>87</v>
      </c>
      <c r="C50" s="305" t="s">
        <v>215</v>
      </c>
      <c r="D50" s="306" t="s">
        <v>216</v>
      </c>
      <c r="E50" s="305" t="s">
        <v>256</v>
      </c>
      <c r="F50" s="306" t="s">
        <v>22</v>
      </c>
      <c r="G50" s="306" t="s">
        <v>257</v>
      </c>
      <c r="H50" s="306" t="s">
        <v>490</v>
      </c>
      <c r="I50" s="306" t="s">
        <v>491</v>
      </c>
      <c r="J50" s="304" t="s">
        <v>87</v>
      </c>
      <c r="K50" s="307">
        <v>43405</v>
      </c>
      <c r="L50" s="307">
        <v>43646</v>
      </c>
      <c r="M50" s="306" t="s">
        <v>89</v>
      </c>
      <c r="N50" s="304" t="s">
        <v>90</v>
      </c>
      <c r="O50" s="306" t="s">
        <v>51</v>
      </c>
      <c r="P50" s="304">
        <v>1</v>
      </c>
      <c r="Q50" s="304">
        <v>1</v>
      </c>
      <c r="R50" s="304">
        <v>1</v>
      </c>
      <c r="S50" s="308">
        <v>0</v>
      </c>
    </row>
    <row r="51" spans="1:19" ht="120">
      <c r="A51" s="303">
        <v>46</v>
      </c>
      <c r="B51" s="304">
        <v>88</v>
      </c>
      <c r="C51" s="305" t="s">
        <v>215</v>
      </c>
      <c r="D51" s="306" t="s">
        <v>216</v>
      </c>
      <c r="E51" s="305" t="s">
        <v>256</v>
      </c>
      <c r="F51" s="306" t="s">
        <v>22</v>
      </c>
      <c r="G51" s="306" t="s">
        <v>257</v>
      </c>
      <c r="H51" s="306" t="s">
        <v>497</v>
      </c>
      <c r="I51" s="306" t="s">
        <v>498</v>
      </c>
      <c r="J51" s="304" t="s">
        <v>87</v>
      </c>
      <c r="K51" s="307">
        <v>43405</v>
      </c>
      <c r="L51" s="309">
        <v>43769</v>
      </c>
      <c r="M51" s="306" t="s">
        <v>89</v>
      </c>
      <c r="N51" s="304" t="s">
        <v>90</v>
      </c>
      <c r="O51" s="306" t="s">
        <v>51</v>
      </c>
      <c r="P51" s="304">
        <v>1</v>
      </c>
      <c r="Q51" s="304">
        <v>1</v>
      </c>
      <c r="R51" s="304">
        <v>1</v>
      </c>
      <c r="S51" s="308">
        <v>0</v>
      </c>
    </row>
    <row r="52" spans="1:19" ht="168">
      <c r="A52" s="303">
        <v>47</v>
      </c>
      <c r="B52" s="304">
        <v>89</v>
      </c>
      <c r="C52" s="305" t="s">
        <v>215</v>
      </c>
      <c r="D52" s="306" t="s">
        <v>216</v>
      </c>
      <c r="E52" s="305" t="s">
        <v>256</v>
      </c>
      <c r="F52" s="306" t="s">
        <v>22</v>
      </c>
      <c r="G52" s="306" t="s">
        <v>257</v>
      </c>
      <c r="H52" s="306" t="s">
        <v>512</v>
      </c>
      <c r="I52" s="306" t="s">
        <v>513</v>
      </c>
      <c r="J52" s="304" t="s">
        <v>87</v>
      </c>
      <c r="K52" s="307">
        <v>43405</v>
      </c>
      <c r="L52" s="309">
        <v>45657</v>
      </c>
      <c r="M52" s="306" t="s">
        <v>95</v>
      </c>
      <c r="N52" s="304" t="s">
        <v>96</v>
      </c>
      <c r="O52" s="306" t="s">
        <v>51</v>
      </c>
      <c r="P52" s="304">
        <v>1</v>
      </c>
      <c r="Q52" s="304">
        <v>1</v>
      </c>
      <c r="R52" s="304">
        <v>1</v>
      </c>
      <c r="S52" s="308">
        <v>0</v>
      </c>
    </row>
    <row r="53" spans="1:19" ht="84">
      <c r="A53" s="303">
        <v>48</v>
      </c>
      <c r="B53" s="304">
        <v>90</v>
      </c>
      <c r="C53" s="305" t="s">
        <v>215</v>
      </c>
      <c r="D53" s="306" t="s">
        <v>216</v>
      </c>
      <c r="E53" s="305" t="s">
        <v>256</v>
      </c>
      <c r="F53" s="306" t="s">
        <v>22</v>
      </c>
      <c r="G53" s="306" t="s">
        <v>257</v>
      </c>
      <c r="H53" s="306" t="s">
        <v>523</v>
      </c>
      <c r="I53" s="306" t="s">
        <v>524</v>
      </c>
      <c r="J53" s="304" t="s">
        <v>87</v>
      </c>
      <c r="K53" s="307">
        <v>43405</v>
      </c>
      <c r="L53" s="309">
        <v>45657</v>
      </c>
      <c r="M53" s="306" t="s">
        <v>205</v>
      </c>
      <c r="N53" s="304" t="s">
        <v>96</v>
      </c>
      <c r="O53" s="306" t="s">
        <v>51</v>
      </c>
      <c r="P53" s="304">
        <v>1</v>
      </c>
      <c r="Q53" s="304">
        <v>1</v>
      </c>
      <c r="R53" s="304">
        <v>1</v>
      </c>
      <c r="S53" s="308">
        <v>0</v>
      </c>
    </row>
    <row r="54" spans="1:19" ht="108">
      <c r="A54" s="303">
        <v>49</v>
      </c>
      <c r="B54" s="304">
        <v>91</v>
      </c>
      <c r="C54" s="305" t="s">
        <v>215</v>
      </c>
      <c r="D54" s="306" t="s">
        <v>216</v>
      </c>
      <c r="E54" s="305" t="s">
        <v>256</v>
      </c>
      <c r="F54" s="306" t="s">
        <v>22</v>
      </c>
      <c r="G54" s="306" t="s">
        <v>257</v>
      </c>
      <c r="H54" s="306" t="s">
        <v>535</v>
      </c>
      <c r="I54" s="306" t="s">
        <v>536</v>
      </c>
      <c r="J54" s="304" t="s">
        <v>87</v>
      </c>
      <c r="K54" s="307">
        <v>43405</v>
      </c>
      <c r="L54" s="309">
        <v>43830</v>
      </c>
      <c r="M54" s="306" t="s">
        <v>89</v>
      </c>
      <c r="N54" s="304" t="s">
        <v>90</v>
      </c>
      <c r="O54" s="306" t="s">
        <v>51</v>
      </c>
      <c r="P54" s="304">
        <v>1</v>
      </c>
      <c r="Q54" s="304">
        <v>1</v>
      </c>
      <c r="R54" s="304">
        <v>1</v>
      </c>
      <c r="S54" s="308">
        <v>0</v>
      </c>
    </row>
    <row r="55" spans="1:19" ht="84">
      <c r="A55" s="303">
        <v>50</v>
      </c>
      <c r="B55" s="304">
        <v>92</v>
      </c>
      <c r="C55" s="305" t="s">
        <v>215</v>
      </c>
      <c r="D55" s="306" t="s">
        <v>216</v>
      </c>
      <c r="E55" s="305" t="s">
        <v>256</v>
      </c>
      <c r="F55" s="306" t="s">
        <v>22</v>
      </c>
      <c r="G55" s="306" t="s">
        <v>257</v>
      </c>
      <c r="H55" s="306" t="s">
        <v>548</v>
      </c>
      <c r="I55" s="306" t="s">
        <v>549</v>
      </c>
      <c r="J55" s="304" t="s">
        <v>87</v>
      </c>
      <c r="K55" s="307">
        <v>43405</v>
      </c>
      <c r="L55" s="309">
        <v>44196</v>
      </c>
      <c r="M55" s="306" t="s">
        <v>89</v>
      </c>
      <c r="N55" s="304" t="s">
        <v>90</v>
      </c>
      <c r="O55" s="306" t="s">
        <v>51</v>
      </c>
      <c r="P55" s="304">
        <v>1</v>
      </c>
      <c r="Q55" s="304">
        <v>1</v>
      </c>
      <c r="R55" s="304">
        <v>1</v>
      </c>
      <c r="S55" s="308">
        <v>0</v>
      </c>
    </row>
    <row r="56" spans="1:19" ht="339">
      <c r="A56" s="303">
        <v>51</v>
      </c>
      <c r="B56" s="304">
        <v>93</v>
      </c>
      <c r="C56" s="305" t="s">
        <v>215</v>
      </c>
      <c r="D56" s="306" t="s">
        <v>216</v>
      </c>
      <c r="E56" s="305" t="s">
        <v>256</v>
      </c>
      <c r="F56" s="306" t="s">
        <v>22</v>
      </c>
      <c r="G56" s="306" t="s">
        <v>257</v>
      </c>
      <c r="H56" s="306" t="s">
        <v>560</v>
      </c>
      <c r="I56" s="306" t="s">
        <v>561</v>
      </c>
      <c r="J56" s="304" t="s">
        <v>87</v>
      </c>
      <c r="K56" s="307">
        <v>43405</v>
      </c>
      <c r="L56" s="309">
        <v>44561</v>
      </c>
      <c r="M56" s="306" t="s">
        <v>209</v>
      </c>
      <c r="N56" s="304" t="s">
        <v>96</v>
      </c>
      <c r="O56" s="306" t="s">
        <v>51</v>
      </c>
      <c r="P56" s="304">
        <v>1</v>
      </c>
      <c r="Q56" s="304">
        <v>1</v>
      </c>
      <c r="R56" s="304">
        <v>1</v>
      </c>
      <c r="S56" s="308">
        <v>0</v>
      </c>
    </row>
    <row r="57" spans="1:19" ht="96">
      <c r="A57" s="303">
        <v>52</v>
      </c>
      <c r="B57" s="304">
        <v>94</v>
      </c>
      <c r="C57" s="305" t="s">
        <v>215</v>
      </c>
      <c r="D57" s="306" t="s">
        <v>216</v>
      </c>
      <c r="E57" s="305" t="s">
        <v>256</v>
      </c>
      <c r="F57" s="306" t="s">
        <v>22</v>
      </c>
      <c r="G57" s="306" t="s">
        <v>257</v>
      </c>
      <c r="H57" s="306" t="s">
        <v>573</v>
      </c>
      <c r="I57" s="306" t="s">
        <v>574</v>
      </c>
      <c r="J57" s="304" t="s">
        <v>87</v>
      </c>
      <c r="K57" s="307">
        <v>43405</v>
      </c>
      <c r="L57" s="309">
        <v>45657</v>
      </c>
      <c r="M57" s="306" t="s">
        <v>95</v>
      </c>
      <c r="N57" s="304" t="s">
        <v>96</v>
      </c>
      <c r="O57" s="306" t="s">
        <v>51</v>
      </c>
      <c r="P57" s="304">
        <v>1</v>
      </c>
      <c r="Q57" s="304">
        <v>1</v>
      </c>
      <c r="R57" s="304">
        <v>1</v>
      </c>
      <c r="S57" s="308">
        <v>0</v>
      </c>
    </row>
    <row r="58" spans="1:19" ht="84">
      <c r="A58" s="303">
        <v>53</v>
      </c>
      <c r="B58" s="304">
        <v>95</v>
      </c>
      <c r="C58" s="305" t="s">
        <v>215</v>
      </c>
      <c r="D58" s="306" t="s">
        <v>216</v>
      </c>
      <c r="E58" s="305" t="s">
        <v>256</v>
      </c>
      <c r="F58" s="306" t="s">
        <v>22</v>
      </c>
      <c r="G58" s="306" t="s">
        <v>257</v>
      </c>
      <c r="H58" s="306" t="s">
        <v>588</v>
      </c>
      <c r="I58" s="306" t="s">
        <v>589</v>
      </c>
      <c r="J58" s="304" t="s">
        <v>87</v>
      </c>
      <c r="K58" s="307">
        <v>43405</v>
      </c>
      <c r="L58" s="309">
        <v>45657</v>
      </c>
      <c r="M58" s="306" t="s">
        <v>99</v>
      </c>
      <c r="N58" s="304" t="s">
        <v>96</v>
      </c>
      <c r="O58" s="306" t="s">
        <v>51</v>
      </c>
      <c r="P58" s="304">
        <v>1</v>
      </c>
      <c r="Q58" s="304">
        <v>1</v>
      </c>
      <c r="R58" s="304">
        <v>1</v>
      </c>
      <c r="S58" s="308">
        <v>0</v>
      </c>
    </row>
    <row r="59" spans="1:19" ht="120">
      <c r="A59" s="303">
        <v>54</v>
      </c>
      <c r="B59" s="304">
        <v>96</v>
      </c>
      <c r="C59" s="305" t="s">
        <v>215</v>
      </c>
      <c r="D59" s="306" t="s">
        <v>216</v>
      </c>
      <c r="E59" s="305" t="s">
        <v>256</v>
      </c>
      <c r="F59" s="306" t="s">
        <v>22</v>
      </c>
      <c r="G59" s="306" t="s">
        <v>257</v>
      </c>
      <c r="H59" s="306" t="s">
        <v>596</v>
      </c>
      <c r="I59" s="306" t="s">
        <v>3416</v>
      </c>
      <c r="J59" s="304" t="s">
        <v>87</v>
      </c>
      <c r="K59" s="307">
        <v>43405</v>
      </c>
      <c r="L59" s="307">
        <v>43677</v>
      </c>
      <c r="M59" s="306" t="s">
        <v>209</v>
      </c>
      <c r="N59" s="304" t="s">
        <v>90</v>
      </c>
      <c r="O59" s="306" t="s">
        <v>51</v>
      </c>
      <c r="P59" s="304">
        <v>1</v>
      </c>
      <c r="Q59" s="304">
        <v>1</v>
      </c>
      <c r="R59" s="304">
        <v>1</v>
      </c>
      <c r="S59" s="308">
        <v>0</v>
      </c>
    </row>
    <row r="60" spans="1:19" ht="84">
      <c r="A60" s="303">
        <v>55</v>
      </c>
      <c r="B60" s="304">
        <v>97</v>
      </c>
      <c r="C60" s="305" t="s">
        <v>215</v>
      </c>
      <c r="D60" s="306" t="s">
        <v>216</v>
      </c>
      <c r="E60" s="305" t="s">
        <v>256</v>
      </c>
      <c r="F60" s="306" t="s">
        <v>22</v>
      </c>
      <c r="G60" s="306" t="s">
        <v>257</v>
      </c>
      <c r="H60" s="306" t="s">
        <v>605</v>
      </c>
      <c r="I60" s="306" t="s">
        <v>606</v>
      </c>
      <c r="J60" s="304" t="s">
        <v>87</v>
      </c>
      <c r="K60" s="307">
        <v>43405</v>
      </c>
      <c r="L60" s="309">
        <v>44926</v>
      </c>
      <c r="M60" s="306" t="s">
        <v>209</v>
      </c>
      <c r="N60" s="304" t="s">
        <v>90</v>
      </c>
      <c r="O60" s="306" t="s">
        <v>51</v>
      </c>
      <c r="P60" s="304">
        <v>1</v>
      </c>
      <c r="Q60" s="304">
        <v>1</v>
      </c>
      <c r="R60" s="304">
        <v>1</v>
      </c>
      <c r="S60" s="308">
        <v>0</v>
      </c>
    </row>
    <row r="61" spans="1:19" ht="84">
      <c r="A61" s="303">
        <v>56</v>
      </c>
      <c r="B61" s="304">
        <v>98</v>
      </c>
      <c r="C61" s="305" t="s">
        <v>215</v>
      </c>
      <c r="D61" s="306" t="s">
        <v>216</v>
      </c>
      <c r="E61" s="305" t="s">
        <v>256</v>
      </c>
      <c r="F61" s="306" t="s">
        <v>22</v>
      </c>
      <c r="G61" s="306" t="s">
        <v>257</v>
      </c>
      <c r="H61" s="306" t="s">
        <v>627</v>
      </c>
      <c r="I61" s="306" t="s">
        <v>628</v>
      </c>
      <c r="J61" s="304" t="s">
        <v>87</v>
      </c>
      <c r="K61" s="307">
        <v>43405</v>
      </c>
      <c r="L61" s="309">
        <v>45291</v>
      </c>
      <c r="M61" s="306" t="s">
        <v>205</v>
      </c>
      <c r="N61" s="304" t="s">
        <v>90</v>
      </c>
      <c r="O61" s="306" t="s">
        <v>51</v>
      </c>
      <c r="P61" s="304">
        <v>1</v>
      </c>
      <c r="Q61" s="304">
        <v>1</v>
      </c>
      <c r="R61" s="304">
        <v>1</v>
      </c>
      <c r="S61" s="308">
        <v>0</v>
      </c>
    </row>
    <row r="62" spans="1:19" ht="168">
      <c r="A62" s="303">
        <v>57</v>
      </c>
      <c r="B62" s="304">
        <v>99</v>
      </c>
      <c r="C62" s="305" t="s">
        <v>215</v>
      </c>
      <c r="D62" s="306" t="s">
        <v>216</v>
      </c>
      <c r="E62" s="305" t="s">
        <v>256</v>
      </c>
      <c r="F62" s="306" t="s">
        <v>22</v>
      </c>
      <c r="G62" s="306" t="s">
        <v>257</v>
      </c>
      <c r="H62" s="306" t="s">
        <v>650</v>
      </c>
      <c r="I62" s="306" t="s">
        <v>651</v>
      </c>
      <c r="J62" s="304" t="s">
        <v>87</v>
      </c>
      <c r="K62" s="307">
        <v>43405</v>
      </c>
      <c r="L62" s="309">
        <v>45657</v>
      </c>
      <c r="M62" s="306" t="s">
        <v>209</v>
      </c>
      <c r="N62" s="304" t="s">
        <v>90</v>
      </c>
      <c r="O62" s="306" t="s">
        <v>51</v>
      </c>
      <c r="P62" s="304">
        <v>1</v>
      </c>
      <c r="Q62" s="304">
        <v>1</v>
      </c>
      <c r="R62" s="304">
        <v>1</v>
      </c>
      <c r="S62" s="308">
        <v>0</v>
      </c>
    </row>
    <row r="63" spans="1:19" ht="84">
      <c r="A63" s="303">
        <v>58</v>
      </c>
      <c r="B63" s="304">
        <v>100</v>
      </c>
      <c r="C63" s="305" t="s">
        <v>215</v>
      </c>
      <c r="D63" s="306" t="s">
        <v>216</v>
      </c>
      <c r="E63" s="305" t="s">
        <v>256</v>
      </c>
      <c r="F63" s="306" t="s">
        <v>22</v>
      </c>
      <c r="G63" s="306" t="s">
        <v>257</v>
      </c>
      <c r="H63" s="306" t="s">
        <v>668</v>
      </c>
      <c r="I63" s="306" t="s">
        <v>670</v>
      </c>
      <c r="J63" s="304" t="s">
        <v>87</v>
      </c>
      <c r="K63" s="307">
        <v>43405</v>
      </c>
      <c r="L63" s="309">
        <v>45657</v>
      </c>
      <c r="M63" s="306" t="s">
        <v>89</v>
      </c>
      <c r="N63" s="304" t="s">
        <v>90</v>
      </c>
      <c r="O63" s="306" t="s">
        <v>51</v>
      </c>
      <c r="P63" s="304">
        <v>1</v>
      </c>
      <c r="Q63" s="304">
        <v>1</v>
      </c>
      <c r="R63" s="304">
        <v>1</v>
      </c>
      <c r="S63" s="308">
        <v>0</v>
      </c>
    </row>
    <row r="64" spans="1:19" ht="84">
      <c r="A64" s="303">
        <v>59</v>
      </c>
      <c r="B64" s="304">
        <v>101</v>
      </c>
      <c r="C64" s="305" t="s">
        <v>215</v>
      </c>
      <c r="D64" s="306" t="s">
        <v>216</v>
      </c>
      <c r="E64" s="305" t="s">
        <v>256</v>
      </c>
      <c r="F64" s="306" t="s">
        <v>22</v>
      </c>
      <c r="G64" s="306" t="s">
        <v>257</v>
      </c>
      <c r="H64" s="306" t="s">
        <v>690</v>
      </c>
      <c r="I64" s="306" t="s">
        <v>691</v>
      </c>
      <c r="J64" s="304" t="s">
        <v>87</v>
      </c>
      <c r="K64" s="307">
        <v>43405</v>
      </c>
      <c r="L64" s="309">
        <v>44196</v>
      </c>
      <c r="M64" s="306" t="s">
        <v>99</v>
      </c>
      <c r="N64" s="304" t="s">
        <v>96</v>
      </c>
      <c r="O64" s="306" t="s">
        <v>51</v>
      </c>
      <c r="P64" s="304">
        <v>1</v>
      </c>
      <c r="Q64" s="304">
        <v>1</v>
      </c>
      <c r="R64" s="304">
        <v>1</v>
      </c>
      <c r="S64" s="308">
        <v>0</v>
      </c>
    </row>
    <row r="65" spans="1:19" ht="84">
      <c r="A65" s="303">
        <v>60</v>
      </c>
      <c r="B65" s="304">
        <v>102</v>
      </c>
      <c r="C65" s="305" t="s">
        <v>215</v>
      </c>
      <c r="D65" s="306" t="s">
        <v>216</v>
      </c>
      <c r="E65" s="305" t="s">
        <v>256</v>
      </c>
      <c r="F65" s="306" t="s">
        <v>22</v>
      </c>
      <c r="G65" s="306" t="s">
        <v>257</v>
      </c>
      <c r="H65" s="306" t="s">
        <v>696</v>
      </c>
      <c r="I65" s="306" t="s">
        <v>697</v>
      </c>
      <c r="J65" s="304" t="s">
        <v>87</v>
      </c>
      <c r="K65" s="307">
        <v>43405</v>
      </c>
      <c r="L65" s="309">
        <v>44561</v>
      </c>
      <c r="M65" s="306" t="s">
        <v>205</v>
      </c>
      <c r="N65" s="304" t="s">
        <v>96</v>
      </c>
      <c r="O65" s="306" t="s">
        <v>51</v>
      </c>
      <c r="P65" s="304">
        <v>1</v>
      </c>
      <c r="Q65" s="304">
        <v>1</v>
      </c>
      <c r="R65" s="304">
        <v>1</v>
      </c>
      <c r="S65" s="308">
        <v>0</v>
      </c>
    </row>
    <row r="66" spans="1:19" ht="108">
      <c r="A66" s="303">
        <v>61</v>
      </c>
      <c r="B66" s="304">
        <v>103</v>
      </c>
      <c r="C66" s="305" t="s">
        <v>215</v>
      </c>
      <c r="D66" s="306" t="s">
        <v>216</v>
      </c>
      <c r="E66" s="305" t="s">
        <v>256</v>
      </c>
      <c r="F66" s="306" t="s">
        <v>22</v>
      </c>
      <c r="G66" s="306" t="s">
        <v>257</v>
      </c>
      <c r="H66" s="306" t="s">
        <v>698</v>
      </c>
      <c r="I66" s="306" t="s">
        <v>699</v>
      </c>
      <c r="J66" s="304" t="s">
        <v>87</v>
      </c>
      <c r="K66" s="307">
        <v>43405</v>
      </c>
      <c r="L66" s="309">
        <v>45657</v>
      </c>
      <c r="M66" s="306" t="s">
        <v>209</v>
      </c>
      <c r="N66" s="304" t="s">
        <v>96</v>
      </c>
      <c r="O66" s="306" t="s">
        <v>51</v>
      </c>
      <c r="P66" s="304">
        <v>1</v>
      </c>
      <c r="Q66" s="304">
        <v>1</v>
      </c>
      <c r="R66" s="304">
        <v>1</v>
      </c>
      <c r="S66" s="308">
        <v>0</v>
      </c>
    </row>
    <row r="67" spans="1:19" ht="84">
      <c r="A67" s="303">
        <v>62</v>
      </c>
      <c r="B67" s="304">
        <v>104</v>
      </c>
      <c r="C67" s="305" t="s">
        <v>215</v>
      </c>
      <c r="D67" s="306" t="s">
        <v>216</v>
      </c>
      <c r="E67" s="305" t="s">
        <v>256</v>
      </c>
      <c r="F67" s="306" t="s">
        <v>22</v>
      </c>
      <c r="G67" s="306" t="s">
        <v>257</v>
      </c>
      <c r="H67" s="306" t="s">
        <v>701</v>
      </c>
      <c r="I67" s="306" t="s">
        <v>702</v>
      </c>
      <c r="J67" s="304" t="s">
        <v>87</v>
      </c>
      <c r="K67" s="307">
        <v>43405</v>
      </c>
      <c r="L67" s="309">
        <v>45657</v>
      </c>
      <c r="M67" s="306" t="s">
        <v>205</v>
      </c>
      <c r="N67" s="304" t="s">
        <v>96</v>
      </c>
      <c r="O67" s="306" t="s">
        <v>51</v>
      </c>
      <c r="P67" s="304">
        <v>1</v>
      </c>
      <c r="Q67" s="304">
        <v>1</v>
      </c>
      <c r="R67" s="304">
        <v>1</v>
      </c>
      <c r="S67" s="308">
        <v>0</v>
      </c>
    </row>
    <row r="68" spans="1:19" ht="84">
      <c r="A68" s="303">
        <v>63</v>
      </c>
      <c r="B68" s="304">
        <v>105</v>
      </c>
      <c r="C68" s="305" t="s">
        <v>215</v>
      </c>
      <c r="D68" s="306" t="s">
        <v>216</v>
      </c>
      <c r="E68" s="305" t="s">
        <v>256</v>
      </c>
      <c r="F68" s="306" t="s">
        <v>22</v>
      </c>
      <c r="G68" s="306" t="s">
        <v>257</v>
      </c>
      <c r="H68" s="306" t="s">
        <v>704</v>
      </c>
      <c r="I68" s="306" t="s">
        <v>705</v>
      </c>
      <c r="J68" s="304" t="s">
        <v>87</v>
      </c>
      <c r="K68" s="307">
        <v>43405</v>
      </c>
      <c r="L68" s="309">
        <v>45657</v>
      </c>
      <c r="M68" s="306" t="s">
        <v>99</v>
      </c>
      <c r="N68" s="304" t="s">
        <v>96</v>
      </c>
      <c r="O68" s="306" t="s">
        <v>51</v>
      </c>
      <c r="P68" s="304">
        <v>1</v>
      </c>
      <c r="Q68" s="304">
        <v>1</v>
      </c>
      <c r="R68" s="304">
        <v>1</v>
      </c>
      <c r="S68" s="308">
        <v>0</v>
      </c>
    </row>
    <row r="69" spans="1:19" ht="216">
      <c r="A69" s="303">
        <v>64</v>
      </c>
      <c r="B69" s="304">
        <v>106</v>
      </c>
      <c r="C69" s="305" t="s">
        <v>215</v>
      </c>
      <c r="D69" s="306" t="s">
        <v>216</v>
      </c>
      <c r="E69" s="305" t="s">
        <v>256</v>
      </c>
      <c r="F69" s="306" t="s">
        <v>22</v>
      </c>
      <c r="G69" s="306" t="s">
        <v>257</v>
      </c>
      <c r="H69" s="306" t="s">
        <v>726</v>
      </c>
      <c r="I69" s="306" t="s">
        <v>728</v>
      </c>
      <c r="J69" s="304" t="s">
        <v>87</v>
      </c>
      <c r="K69" s="307">
        <v>43405</v>
      </c>
      <c r="L69" s="309">
        <v>43830</v>
      </c>
      <c r="M69" s="306" t="s">
        <v>99</v>
      </c>
      <c r="N69" s="304" t="s">
        <v>96</v>
      </c>
      <c r="O69" s="306" t="s">
        <v>51</v>
      </c>
      <c r="P69" s="304">
        <v>1</v>
      </c>
      <c r="Q69" s="304">
        <v>1</v>
      </c>
      <c r="R69" s="304">
        <v>1</v>
      </c>
      <c r="S69" s="308">
        <v>0</v>
      </c>
    </row>
    <row r="70" spans="1:19" ht="361">
      <c r="A70" s="303">
        <v>65</v>
      </c>
      <c r="B70" s="304">
        <v>107</v>
      </c>
      <c r="C70" s="305" t="s">
        <v>215</v>
      </c>
      <c r="D70" s="306" t="s">
        <v>216</v>
      </c>
      <c r="E70" s="305" t="s">
        <v>256</v>
      </c>
      <c r="F70" s="306" t="s">
        <v>22</v>
      </c>
      <c r="G70" s="306" t="s">
        <v>257</v>
      </c>
      <c r="H70" s="306" t="s">
        <v>738</v>
      </c>
      <c r="I70" s="306" t="s">
        <v>739</v>
      </c>
      <c r="J70" s="304" t="s">
        <v>87</v>
      </c>
      <c r="K70" s="307">
        <v>43405</v>
      </c>
      <c r="L70" s="307">
        <v>44012</v>
      </c>
      <c r="M70" s="306" t="s">
        <v>89</v>
      </c>
      <c r="N70" s="304" t="s">
        <v>90</v>
      </c>
      <c r="O70" s="306" t="s">
        <v>51</v>
      </c>
      <c r="P70" s="304">
        <v>1</v>
      </c>
      <c r="Q70" s="304">
        <v>1</v>
      </c>
      <c r="R70" s="304">
        <v>1</v>
      </c>
      <c r="S70" s="308">
        <v>0</v>
      </c>
    </row>
    <row r="71" spans="1:19" ht="84">
      <c r="A71" s="303">
        <v>66</v>
      </c>
      <c r="B71" s="304">
        <v>108</v>
      </c>
      <c r="C71" s="305" t="s">
        <v>215</v>
      </c>
      <c r="D71" s="306" t="s">
        <v>216</v>
      </c>
      <c r="E71" s="305" t="s">
        <v>256</v>
      </c>
      <c r="F71" s="306" t="s">
        <v>22</v>
      </c>
      <c r="G71" s="306" t="s">
        <v>257</v>
      </c>
      <c r="H71" s="306" t="s">
        <v>758</v>
      </c>
      <c r="I71" s="306" t="s">
        <v>758</v>
      </c>
      <c r="J71" s="304" t="s">
        <v>87</v>
      </c>
      <c r="K71" s="307">
        <v>43405</v>
      </c>
      <c r="L71" s="309">
        <v>44196</v>
      </c>
      <c r="M71" s="306" t="s">
        <v>439</v>
      </c>
      <c r="N71" s="304" t="s">
        <v>96</v>
      </c>
      <c r="O71" s="306" t="s">
        <v>51</v>
      </c>
      <c r="P71" s="304">
        <v>1</v>
      </c>
      <c r="Q71" s="304">
        <v>1</v>
      </c>
      <c r="R71" s="304">
        <v>1</v>
      </c>
      <c r="S71" s="308">
        <v>0</v>
      </c>
    </row>
    <row r="72" spans="1:19" ht="84">
      <c r="A72" s="303">
        <v>67</v>
      </c>
      <c r="B72" s="304">
        <v>109</v>
      </c>
      <c r="C72" s="305" t="s">
        <v>215</v>
      </c>
      <c r="D72" s="306" t="s">
        <v>216</v>
      </c>
      <c r="E72" s="305" t="s">
        <v>256</v>
      </c>
      <c r="F72" s="306" t="s">
        <v>22</v>
      </c>
      <c r="G72" s="306" t="s">
        <v>257</v>
      </c>
      <c r="H72" s="306" t="s">
        <v>885</v>
      </c>
      <c r="I72" s="306" t="s">
        <v>888</v>
      </c>
      <c r="J72" s="304" t="s">
        <v>87</v>
      </c>
      <c r="K72" s="307">
        <v>43405</v>
      </c>
      <c r="L72" s="309">
        <v>44196</v>
      </c>
      <c r="M72" s="306" t="s">
        <v>439</v>
      </c>
      <c r="N72" s="304" t="s">
        <v>96</v>
      </c>
      <c r="O72" s="306" t="s">
        <v>51</v>
      </c>
      <c r="P72" s="304">
        <v>1</v>
      </c>
      <c r="Q72" s="304">
        <v>1</v>
      </c>
      <c r="R72" s="304">
        <v>1</v>
      </c>
      <c r="S72" s="308">
        <v>0</v>
      </c>
    </row>
    <row r="73" spans="1:19" ht="409.6">
      <c r="A73" s="303">
        <v>68</v>
      </c>
      <c r="B73" s="304">
        <v>110</v>
      </c>
      <c r="C73" s="305" t="s">
        <v>215</v>
      </c>
      <c r="D73" s="306" t="s">
        <v>216</v>
      </c>
      <c r="E73" s="305" t="s">
        <v>256</v>
      </c>
      <c r="F73" s="306" t="s">
        <v>22</v>
      </c>
      <c r="G73" s="306" t="s">
        <v>257</v>
      </c>
      <c r="H73" s="306" t="s">
        <v>923</v>
      </c>
      <c r="I73" s="306" t="s">
        <v>3417</v>
      </c>
      <c r="J73" s="304" t="s">
        <v>87</v>
      </c>
      <c r="K73" s="307">
        <v>43405</v>
      </c>
      <c r="L73" s="309">
        <v>43769</v>
      </c>
      <c r="M73" s="306" t="s">
        <v>221</v>
      </c>
      <c r="N73" s="304" t="s">
        <v>90</v>
      </c>
      <c r="O73" s="306" t="s">
        <v>51</v>
      </c>
      <c r="P73" s="304">
        <v>1</v>
      </c>
      <c r="Q73" s="304">
        <v>1</v>
      </c>
      <c r="R73" s="304">
        <v>1</v>
      </c>
      <c r="S73" s="308">
        <v>0</v>
      </c>
    </row>
    <row r="74" spans="1:19" ht="96">
      <c r="A74" s="303">
        <v>69</v>
      </c>
      <c r="B74" s="304">
        <v>111</v>
      </c>
      <c r="C74" s="305" t="s">
        <v>215</v>
      </c>
      <c r="D74" s="306" t="s">
        <v>216</v>
      </c>
      <c r="E74" s="305" t="s">
        <v>256</v>
      </c>
      <c r="F74" s="306" t="s">
        <v>22</v>
      </c>
      <c r="G74" s="306" t="s">
        <v>257</v>
      </c>
      <c r="H74" s="306" t="s">
        <v>999</v>
      </c>
      <c r="I74" s="306" t="s">
        <v>1004</v>
      </c>
      <c r="J74" s="304" t="s">
        <v>87</v>
      </c>
      <c r="K74" s="307">
        <v>43405</v>
      </c>
      <c r="L74" s="307">
        <v>43738</v>
      </c>
      <c r="M74" s="306" t="s">
        <v>89</v>
      </c>
      <c r="N74" s="304" t="s">
        <v>90</v>
      </c>
      <c r="O74" s="306" t="s">
        <v>51</v>
      </c>
      <c r="P74" s="304">
        <v>1</v>
      </c>
      <c r="Q74" s="304">
        <v>1</v>
      </c>
      <c r="R74" s="304">
        <v>1</v>
      </c>
      <c r="S74" s="308">
        <v>0</v>
      </c>
    </row>
    <row r="75" spans="1:19" ht="84">
      <c r="A75" s="303">
        <v>70</v>
      </c>
      <c r="B75" s="304">
        <v>112</v>
      </c>
      <c r="C75" s="305" t="s">
        <v>215</v>
      </c>
      <c r="D75" s="306" t="s">
        <v>216</v>
      </c>
      <c r="E75" s="305" t="s">
        <v>256</v>
      </c>
      <c r="F75" s="306" t="s">
        <v>22</v>
      </c>
      <c r="G75" s="306" t="s">
        <v>257</v>
      </c>
      <c r="H75" s="306" t="s">
        <v>1010</v>
      </c>
      <c r="I75" s="306" t="s">
        <v>1011</v>
      </c>
      <c r="J75" s="304" t="s">
        <v>87</v>
      </c>
      <c r="K75" s="307">
        <v>43405</v>
      </c>
      <c r="L75" s="309">
        <v>45657</v>
      </c>
      <c r="M75" s="306" t="s">
        <v>209</v>
      </c>
      <c r="N75" s="304" t="s">
        <v>96</v>
      </c>
      <c r="O75" s="306" t="s">
        <v>51</v>
      </c>
      <c r="P75" s="304">
        <v>1</v>
      </c>
      <c r="Q75" s="304">
        <v>1</v>
      </c>
      <c r="R75" s="304">
        <v>1</v>
      </c>
      <c r="S75" s="308">
        <v>0</v>
      </c>
    </row>
    <row r="76" spans="1:19" ht="409.6">
      <c r="A76" s="303">
        <v>71</v>
      </c>
      <c r="B76" s="304">
        <v>113</v>
      </c>
      <c r="C76" s="305" t="s">
        <v>215</v>
      </c>
      <c r="D76" s="306" t="s">
        <v>216</v>
      </c>
      <c r="E76" s="305" t="s">
        <v>256</v>
      </c>
      <c r="F76" s="306" t="s">
        <v>22</v>
      </c>
      <c r="G76" s="306" t="s">
        <v>257</v>
      </c>
      <c r="H76" s="306" t="s">
        <v>1024</v>
      </c>
      <c r="I76" s="306" t="s">
        <v>1025</v>
      </c>
      <c r="J76" s="304" t="s">
        <v>87</v>
      </c>
      <c r="K76" s="307">
        <v>43405</v>
      </c>
      <c r="L76" s="309">
        <v>44561</v>
      </c>
      <c r="M76" s="306" t="s">
        <v>209</v>
      </c>
      <c r="N76" s="304" t="s">
        <v>96</v>
      </c>
      <c r="O76" s="306" t="s">
        <v>51</v>
      </c>
      <c r="P76" s="304">
        <v>1</v>
      </c>
      <c r="Q76" s="304">
        <v>1</v>
      </c>
      <c r="R76" s="304">
        <v>1</v>
      </c>
      <c r="S76" s="308">
        <v>0</v>
      </c>
    </row>
    <row r="77" spans="1:19" ht="240">
      <c r="A77" s="303">
        <v>72</v>
      </c>
      <c r="B77" s="304">
        <v>114</v>
      </c>
      <c r="C77" s="305" t="s">
        <v>215</v>
      </c>
      <c r="D77" s="306" t="s">
        <v>216</v>
      </c>
      <c r="E77" s="305" t="s">
        <v>256</v>
      </c>
      <c r="F77" s="306" t="s">
        <v>22</v>
      </c>
      <c r="G77" s="306" t="s">
        <v>257</v>
      </c>
      <c r="H77" s="306" t="s">
        <v>1029</v>
      </c>
      <c r="I77" s="306" t="s">
        <v>1030</v>
      </c>
      <c r="J77" s="304" t="s">
        <v>87</v>
      </c>
      <c r="K77" s="307">
        <v>43405</v>
      </c>
      <c r="L77" s="309">
        <v>44196</v>
      </c>
      <c r="M77" s="306" t="s">
        <v>209</v>
      </c>
      <c r="N77" s="304" t="s">
        <v>96</v>
      </c>
      <c r="O77" s="306" t="s">
        <v>51</v>
      </c>
      <c r="P77" s="304">
        <v>1</v>
      </c>
      <c r="Q77" s="304">
        <v>1</v>
      </c>
      <c r="R77" s="304">
        <v>1</v>
      </c>
      <c r="S77" s="308">
        <v>0</v>
      </c>
    </row>
    <row r="78" spans="1:19" ht="84">
      <c r="A78" s="303">
        <v>73</v>
      </c>
      <c r="B78" s="304">
        <v>115</v>
      </c>
      <c r="C78" s="305" t="s">
        <v>215</v>
      </c>
      <c r="D78" s="306" t="s">
        <v>216</v>
      </c>
      <c r="E78" s="305" t="s">
        <v>256</v>
      </c>
      <c r="F78" s="306" t="s">
        <v>22</v>
      </c>
      <c r="G78" s="306" t="s">
        <v>257</v>
      </c>
      <c r="H78" s="306" t="s">
        <v>1031</v>
      </c>
      <c r="I78" s="306" t="s">
        <v>1031</v>
      </c>
      <c r="J78" s="304" t="s">
        <v>87</v>
      </c>
      <c r="K78" s="307">
        <v>43405</v>
      </c>
      <c r="L78" s="309">
        <v>43830</v>
      </c>
      <c r="M78" s="306" t="s">
        <v>89</v>
      </c>
      <c r="N78" s="304" t="s">
        <v>90</v>
      </c>
      <c r="O78" s="306" t="s">
        <v>51</v>
      </c>
      <c r="P78" s="304">
        <v>1</v>
      </c>
      <c r="Q78" s="304">
        <v>1</v>
      </c>
      <c r="R78" s="304">
        <v>1</v>
      </c>
      <c r="S78" s="308">
        <v>0</v>
      </c>
    </row>
    <row r="79" spans="1:19" ht="132">
      <c r="A79" s="303">
        <v>74</v>
      </c>
      <c r="B79" s="304">
        <v>116</v>
      </c>
      <c r="C79" s="305" t="s">
        <v>215</v>
      </c>
      <c r="D79" s="306" t="s">
        <v>216</v>
      </c>
      <c r="E79" s="305" t="s">
        <v>256</v>
      </c>
      <c r="F79" s="306" t="s">
        <v>22</v>
      </c>
      <c r="G79" s="306" t="s">
        <v>257</v>
      </c>
      <c r="H79" s="306" t="s">
        <v>1033</v>
      </c>
      <c r="I79" s="306" t="s">
        <v>1034</v>
      </c>
      <c r="J79" s="304" t="s">
        <v>87</v>
      </c>
      <c r="K79" s="307">
        <v>43405</v>
      </c>
      <c r="L79" s="309">
        <v>45657</v>
      </c>
      <c r="M79" s="306" t="s">
        <v>344</v>
      </c>
      <c r="N79" s="304" t="s">
        <v>90</v>
      </c>
      <c r="O79" s="306" t="s">
        <v>51</v>
      </c>
      <c r="P79" s="304">
        <v>1</v>
      </c>
      <c r="Q79" s="304">
        <v>1</v>
      </c>
      <c r="R79" s="304">
        <v>1</v>
      </c>
      <c r="S79" s="308">
        <v>0</v>
      </c>
    </row>
    <row r="80" spans="1:19" ht="84">
      <c r="A80" s="303">
        <v>75</v>
      </c>
      <c r="B80" s="304">
        <v>117</v>
      </c>
      <c r="C80" s="305" t="s">
        <v>215</v>
      </c>
      <c r="D80" s="306" t="s">
        <v>216</v>
      </c>
      <c r="E80" s="305" t="s">
        <v>256</v>
      </c>
      <c r="F80" s="306" t="s">
        <v>22</v>
      </c>
      <c r="G80" s="306" t="s">
        <v>257</v>
      </c>
      <c r="H80" s="306" t="s">
        <v>1036</v>
      </c>
      <c r="I80" s="306" t="s">
        <v>1037</v>
      </c>
      <c r="J80" s="304" t="s">
        <v>87</v>
      </c>
      <c r="K80" s="307">
        <v>43405</v>
      </c>
      <c r="L80" s="307">
        <v>43646</v>
      </c>
      <c r="M80" s="306" t="s">
        <v>221</v>
      </c>
      <c r="N80" s="304" t="s">
        <v>90</v>
      </c>
      <c r="O80" s="306" t="s">
        <v>51</v>
      </c>
      <c r="P80" s="304">
        <v>1</v>
      </c>
      <c r="Q80" s="304">
        <v>1</v>
      </c>
      <c r="R80" s="304">
        <v>1</v>
      </c>
      <c r="S80" s="308">
        <v>0</v>
      </c>
    </row>
    <row r="81" spans="1:19" ht="48">
      <c r="A81" s="303">
        <v>76</v>
      </c>
      <c r="B81" s="304">
        <v>118</v>
      </c>
      <c r="C81" s="305" t="s">
        <v>215</v>
      </c>
      <c r="D81" s="306" t="s">
        <v>216</v>
      </c>
      <c r="E81" s="305" t="s">
        <v>766</v>
      </c>
      <c r="F81" s="306" t="s">
        <v>25</v>
      </c>
      <c r="G81" s="306" t="s">
        <v>1044</v>
      </c>
      <c r="H81" s="306" t="s">
        <v>1046</v>
      </c>
      <c r="I81" s="306"/>
      <c r="J81" s="304" t="s">
        <v>87</v>
      </c>
      <c r="K81" s="307">
        <v>43405</v>
      </c>
      <c r="L81" s="307">
        <v>43739</v>
      </c>
      <c r="M81" s="306" t="s">
        <v>89</v>
      </c>
      <c r="N81" s="304" t="s">
        <v>90</v>
      </c>
      <c r="O81" s="306" t="s">
        <v>51</v>
      </c>
      <c r="P81" s="304">
        <v>1</v>
      </c>
      <c r="Q81" s="304">
        <v>1</v>
      </c>
      <c r="R81" s="304">
        <v>1</v>
      </c>
      <c r="S81" s="308">
        <v>0</v>
      </c>
    </row>
    <row r="82" spans="1:19" ht="48">
      <c r="A82" s="303">
        <v>77</v>
      </c>
      <c r="B82" s="304">
        <v>119</v>
      </c>
      <c r="C82" s="305" t="s">
        <v>215</v>
      </c>
      <c r="D82" s="306" t="s">
        <v>216</v>
      </c>
      <c r="E82" s="305" t="s">
        <v>766</v>
      </c>
      <c r="F82" s="306" t="s">
        <v>25</v>
      </c>
      <c r="G82" s="306" t="s">
        <v>1044</v>
      </c>
      <c r="H82" s="306" t="s">
        <v>1049</v>
      </c>
      <c r="I82" s="306"/>
      <c r="J82" s="304" t="s">
        <v>87</v>
      </c>
      <c r="K82" s="307">
        <v>43405</v>
      </c>
      <c r="L82" s="309">
        <v>43829</v>
      </c>
      <c r="M82" s="306" t="s">
        <v>89</v>
      </c>
      <c r="N82" s="304" t="s">
        <v>90</v>
      </c>
      <c r="O82" s="306" t="s">
        <v>51</v>
      </c>
      <c r="P82" s="304">
        <v>1</v>
      </c>
      <c r="Q82" s="304">
        <v>1</v>
      </c>
      <c r="R82" s="304">
        <v>1</v>
      </c>
      <c r="S82" s="308">
        <v>0</v>
      </c>
    </row>
    <row r="83" spans="1:19" ht="120">
      <c r="A83" s="303">
        <v>78</v>
      </c>
      <c r="B83" s="304">
        <v>120</v>
      </c>
      <c r="C83" s="305" t="s">
        <v>215</v>
      </c>
      <c r="D83" s="306" t="s">
        <v>216</v>
      </c>
      <c r="E83" s="305" t="s">
        <v>766</v>
      </c>
      <c r="F83" s="306" t="s">
        <v>25</v>
      </c>
      <c r="G83" s="306" t="s">
        <v>1044</v>
      </c>
      <c r="H83" s="306" t="s">
        <v>1056</v>
      </c>
      <c r="I83" s="306"/>
      <c r="J83" s="304" t="s">
        <v>87</v>
      </c>
      <c r="K83" s="307">
        <v>43405</v>
      </c>
      <c r="L83" s="307">
        <v>44012</v>
      </c>
      <c r="M83" s="306" t="s">
        <v>89</v>
      </c>
      <c r="N83" s="304" t="s">
        <v>90</v>
      </c>
      <c r="O83" s="306" t="s">
        <v>67</v>
      </c>
      <c r="P83" s="304">
        <v>1</v>
      </c>
      <c r="Q83" s="304">
        <v>1</v>
      </c>
      <c r="R83" s="304">
        <v>1</v>
      </c>
      <c r="S83" s="308">
        <v>0</v>
      </c>
    </row>
    <row r="84" spans="1:19" ht="60">
      <c r="A84" s="303">
        <v>79</v>
      </c>
      <c r="B84" s="304">
        <v>121</v>
      </c>
      <c r="C84" s="305" t="s">
        <v>215</v>
      </c>
      <c r="D84" s="306" t="s">
        <v>216</v>
      </c>
      <c r="E84" s="305" t="s">
        <v>766</v>
      </c>
      <c r="F84" s="306" t="s">
        <v>25</v>
      </c>
      <c r="G84" s="306" t="s">
        <v>1044</v>
      </c>
      <c r="H84" s="306" t="s">
        <v>1072</v>
      </c>
      <c r="I84" s="306"/>
      <c r="J84" s="304" t="s">
        <v>87</v>
      </c>
      <c r="K84" s="307">
        <v>43405</v>
      </c>
      <c r="L84" s="307">
        <v>43739</v>
      </c>
      <c r="M84" s="306" t="s">
        <v>221</v>
      </c>
      <c r="N84" s="304" t="s">
        <v>90</v>
      </c>
      <c r="O84" s="306" t="s">
        <v>55</v>
      </c>
      <c r="P84" s="304">
        <v>1</v>
      </c>
      <c r="Q84" s="304">
        <v>1</v>
      </c>
      <c r="R84" s="304">
        <v>1</v>
      </c>
      <c r="S84" s="308">
        <v>0</v>
      </c>
    </row>
    <row r="85" spans="1:19" ht="120">
      <c r="A85" s="303">
        <v>80</v>
      </c>
      <c r="B85" s="304">
        <v>122</v>
      </c>
      <c r="C85" s="305" t="s">
        <v>215</v>
      </c>
      <c r="D85" s="306" t="s">
        <v>216</v>
      </c>
      <c r="E85" s="305" t="s">
        <v>766</v>
      </c>
      <c r="F85" s="306" t="s">
        <v>25</v>
      </c>
      <c r="G85" s="306" t="s">
        <v>1044</v>
      </c>
      <c r="H85" s="306" t="s">
        <v>1079</v>
      </c>
      <c r="I85" s="306" t="s">
        <v>1080</v>
      </c>
      <c r="J85" s="304" t="s">
        <v>87</v>
      </c>
      <c r="K85" s="307">
        <v>43405</v>
      </c>
      <c r="L85" s="309">
        <v>45657</v>
      </c>
      <c r="M85" s="306" t="s">
        <v>211</v>
      </c>
      <c r="N85" s="304" t="s">
        <v>96</v>
      </c>
      <c r="O85" s="306" t="s">
        <v>67</v>
      </c>
      <c r="P85" s="304">
        <v>1</v>
      </c>
      <c r="Q85" s="304">
        <v>1</v>
      </c>
      <c r="R85" s="304">
        <v>1</v>
      </c>
      <c r="S85" s="308">
        <v>0</v>
      </c>
    </row>
    <row r="86" spans="1:19" ht="409.6">
      <c r="A86" s="303">
        <v>81</v>
      </c>
      <c r="B86" s="304">
        <v>123</v>
      </c>
      <c r="C86" s="305" t="s">
        <v>215</v>
      </c>
      <c r="D86" s="306" t="s">
        <v>216</v>
      </c>
      <c r="E86" s="305" t="s">
        <v>766</v>
      </c>
      <c r="F86" s="306" t="s">
        <v>25</v>
      </c>
      <c r="G86" s="306" t="s">
        <v>1044</v>
      </c>
      <c r="H86" s="306" t="s">
        <v>1087</v>
      </c>
      <c r="I86" s="306" t="s">
        <v>1088</v>
      </c>
      <c r="J86" s="304" t="s">
        <v>87</v>
      </c>
      <c r="K86" s="307">
        <v>43405</v>
      </c>
      <c r="L86" s="309">
        <v>43830</v>
      </c>
      <c r="M86" s="306" t="s">
        <v>89</v>
      </c>
      <c r="N86" s="304" t="s">
        <v>90</v>
      </c>
      <c r="O86" s="306" t="s">
        <v>67</v>
      </c>
      <c r="P86" s="304">
        <v>1</v>
      </c>
      <c r="Q86" s="304">
        <v>1</v>
      </c>
      <c r="R86" s="304">
        <v>1</v>
      </c>
      <c r="S86" s="308">
        <v>0</v>
      </c>
    </row>
    <row r="87" spans="1:19" ht="192">
      <c r="A87" s="303">
        <v>82</v>
      </c>
      <c r="B87" s="304">
        <v>124</v>
      </c>
      <c r="C87" s="305" t="s">
        <v>215</v>
      </c>
      <c r="D87" s="306" t="s">
        <v>216</v>
      </c>
      <c r="E87" s="305" t="s">
        <v>766</v>
      </c>
      <c r="F87" s="306" t="s">
        <v>25</v>
      </c>
      <c r="G87" s="306" t="s">
        <v>1044</v>
      </c>
      <c r="H87" s="306" t="s">
        <v>1050</v>
      </c>
      <c r="I87" s="306" t="s">
        <v>1090</v>
      </c>
      <c r="J87" s="304" t="s">
        <v>87</v>
      </c>
      <c r="K87" s="307">
        <v>43405</v>
      </c>
      <c r="L87" s="309">
        <v>45657</v>
      </c>
      <c r="M87" s="306" t="s">
        <v>205</v>
      </c>
      <c r="N87" s="304" t="s">
        <v>96</v>
      </c>
      <c r="O87" s="306" t="s">
        <v>67</v>
      </c>
      <c r="P87" s="304">
        <v>1</v>
      </c>
      <c r="Q87" s="304">
        <v>1</v>
      </c>
      <c r="R87" s="304">
        <v>1</v>
      </c>
      <c r="S87" s="308">
        <v>0</v>
      </c>
    </row>
    <row r="88" spans="1:19" ht="120">
      <c r="A88" s="303">
        <v>83</v>
      </c>
      <c r="B88" s="304">
        <v>125</v>
      </c>
      <c r="C88" s="305" t="s">
        <v>215</v>
      </c>
      <c r="D88" s="306" t="s">
        <v>216</v>
      </c>
      <c r="E88" s="305" t="s">
        <v>766</v>
      </c>
      <c r="F88" s="306" t="s">
        <v>25</v>
      </c>
      <c r="G88" s="306" t="s">
        <v>1044</v>
      </c>
      <c r="H88" s="306" t="s">
        <v>1091</v>
      </c>
      <c r="I88" s="306" t="s">
        <v>1092</v>
      </c>
      <c r="J88" s="304" t="s">
        <v>87</v>
      </c>
      <c r="K88" s="307">
        <v>43405</v>
      </c>
      <c r="L88" s="309">
        <v>45657</v>
      </c>
      <c r="M88" s="306" t="s">
        <v>211</v>
      </c>
      <c r="N88" s="304" t="s">
        <v>96</v>
      </c>
      <c r="O88" s="306" t="s">
        <v>67</v>
      </c>
      <c r="P88" s="304">
        <v>1</v>
      </c>
      <c r="Q88" s="304">
        <v>1</v>
      </c>
      <c r="R88" s="304">
        <v>1</v>
      </c>
      <c r="S88" s="308">
        <v>0</v>
      </c>
    </row>
    <row r="89" spans="1:19" ht="120">
      <c r="A89" s="303">
        <v>84</v>
      </c>
      <c r="B89" s="304">
        <v>126</v>
      </c>
      <c r="C89" s="305" t="s">
        <v>215</v>
      </c>
      <c r="D89" s="306" t="s">
        <v>216</v>
      </c>
      <c r="E89" s="305" t="s">
        <v>766</v>
      </c>
      <c r="F89" s="306" t="s">
        <v>25</v>
      </c>
      <c r="G89" s="306" t="s">
        <v>1044</v>
      </c>
      <c r="H89" s="306" t="s">
        <v>1098</v>
      </c>
      <c r="I89" s="306"/>
      <c r="J89" s="304" t="s">
        <v>87</v>
      </c>
      <c r="K89" s="307">
        <v>43405</v>
      </c>
      <c r="L89" s="309">
        <v>43601</v>
      </c>
      <c r="M89" s="306" t="s">
        <v>211</v>
      </c>
      <c r="N89" s="304" t="s">
        <v>96</v>
      </c>
      <c r="O89" s="306" t="s">
        <v>67</v>
      </c>
      <c r="P89" s="304">
        <v>1</v>
      </c>
      <c r="Q89" s="304">
        <v>1</v>
      </c>
      <c r="R89" s="304">
        <v>1</v>
      </c>
      <c r="S89" s="308">
        <v>0</v>
      </c>
    </row>
    <row r="90" spans="1:19" ht="120">
      <c r="A90" s="303">
        <v>85</v>
      </c>
      <c r="B90" s="304">
        <v>127</v>
      </c>
      <c r="C90" s="305" t="s">
        <v>215</v>
      </c>
      <c r="D90" s="306" t="s">
        <v>216</v>
      </c>
      <c r="E90" s="305" t="s">
        <v>766</v>
      </c>
      <c r="F90" s="306" t="s">
        <v>25</v>
      </c>
      <c r="G90" s="306" t="s">
        <v>1044</v>
      </c>
      <c r="H90" s="306" t="s">
        <v>1107</v>
      </c>
      <c r="I90" s="306"/>
      <c r="J90" s="304" t="s">
        <v>87</v>
      </c>
      <c r="K90" s="307">
        <v>43405</v>
      </c>
      <c r="L90" s="309">
        <v>45657</v>
      </c>
      <c r="M90" s="306" t="s">
        <v>211</v>
      </c>
      <c r="N90" s="304" t="s">
        <v>96</v>
      </c>
      <c r="O90" s="306" t="s">
        <v>67</v>
      </c>
      <c r="P90" s="304">
        <v>1</v>
      </c>
      <c r="Q90" s="304">
        <v>1</v>
      </c>
      <c r="R90" s="304">
        <v>1</v>
      </c>
      <c r="S90" s="308">
        <v>0</v>
      </c>
    </row>
    <row r="91" spans="1:19" ht="168">
      <c r="A91" s="303">
        <v>86</v>
      </c>
      <c r="B91" s="304">
        <v>128</v>
      </c>
      <c r="C91" s="305" t="s">
        <v>215</v>
      </c>
      <c r="D91" s="306" t="s">
        <v>216</v>
      </c>
      <c r="E91" s="305" t="s">
        <v>766</v>
      </c>
      <c r="F91" s="306" t="s">
        <v>25</v>
      </c>
      <c r="G91" s="306" t="s">
        <v>1044</v>
      </c>
      <c r="H91" s="306" t="s">
        <v>1114</v>
      </c>
      <c r="I91" s="306" t="s">
        <v>1115</v>
      </c>
      <c r="J91" s="304" t="s">
        <v>87</v>
      </c>
      <c r="K91" s="307">
        <v>43405</v>
      </c>
      <c r="L91" s="307">
        <v>43601</v>
      </c>
      <c r="M91" s="306" t="s">
        <v>211</v>
      </c>
      <c r="N91" s="304" t="s">
        <v>96</v>
      </c>
      <c r="O91" s="306" t="s">
        <v>67</v>
      </c>
      <c r="P91" s="304">
        <v>1</v>
      </c>
      <c r="Q91" s="304">
        <v>1</v>
      </c>
      <c r="R91" s="304">
        <v>1</v>
      </c>
      <c r="S91" s="308">
        <v>0</v>
      </c>
    </row>
    <row r="92" spans="1:19" ht="120">
      <c r="A92" s="303">
        <v>87</v>
      </c>
      <c r="B92" s="304">
        <v>129</v>
      </c>
      <c r="C92" s="305" t="s">
        <v>215</v>
      </c>
      <c r="D92" s="306" t="s">
        <v>216</v>
      </c>
      <c r="E92" s="305" t="s">
        <v>766</v>
      </c>
      <c r="F92" s="306" t="s">
        <v>25</v>
      </c>
      <c r="G92" s="306" t="s">
        <v>1044</v>
      </c>
      <c r="H92" s="306" t="s">
        <v>1130</v>
      </c>
      <c r="I92" s="306"/>
      <c r="J92" s="304" t="s">
        <v>87</v>
      </c>
      <c r="K92" s="307">
        <v>43405</v>
      </c>
      <c r="L92" s="309">
        <v>45657</v>
      </c>
      <c r="M92" s="306" t="s">
        <v>211</v>
      </c>
      <c r="N92" s="304" t="s">
        <v>96</v>
      </c>
      <c r="O92" s="306" t="s">
        <v>67</v>
      </c>
      <c r="P92" s="304">
        <v>1</v>
      </c>
      <c r="Q92" s="304">
        <v>1</v>
      </c>
      <c r="R92" s="304">
        <v>1</v>
      </c>
      <c r="S92" s="308">
        <v>0</v>
      </c>
    </row>
    <row r="93" spans="1:19" ht="120">
      <c r="A93" s="303">
        <v>88</v>
      </c>
      <c r="B93" s="304">
        <v>130</v>
      </c>
      <c r="C93" s="305" t="s">
        <v>215</v>
      </c>
      <c r="D93" s="306" t="s">
        <v>216</v>
      </c>
      <c r="E93" s="305" t="s">
        <v>766</v>
      </c>
      <c r="F93" s="306" t="s">
        <v>25</v>
      </c>
      <c r="G93" s="306" t="s">
        <v>1044</v>
      </c>
      <c r="H93" s="306" t="s">
        <v>1135</v>
      </c>
      <c r="I93" s="306"/>
      <c r="J93" s="304" t="s">
        <v>87</v>
      </c>
      <c r="K93" s="307">
        <v>43405</v>
      </c>
      <c r="L93" s="309">
        <v>45657</v>
      </c>
      <c r="M93" s="306" t="s">
        <v>205</v>
      </c>
      <c r="N93" s="304" t="s">
        <v>96</v>
      </c>
      <c r="O93" s="306" t="s">
        <v>67</v>
      </c>
      <c r="P93" s="304">
        <v>1</v>
      </c>
      <c r="Q93" s="304">
        <v>1</v>
      </c>
      <c r="R93" s="304">
        <v>1</v>
      </c>
      <c r="S93" s="308">
        <v>0</v>
      </c>
    </row>
    <row r="94" spans="1:19" ht="120">
      <c r="A94" s="303">
        <v>89</v>
      </c>
      <c r="B94" s="304">
        <v>131</v>
      </c>
      <c r="C94" s="305" t="s">
        <v>215</v>
      </c>
      <c r="D94" s="306" t="s">
        <v>216</v>
      </c>
      <c r="E94" s="305" t="s">
        <v>766</v>
      </c>
      <c r="F94" s="306" t="s">
        <v>25</v>
      </c>
      <c r="G94" s="306" t="s">
        <v>1044</v>
      </c>
      <c r="H94" s="306" t="s">
        <v>1137</v>
      </c>
      <c r="I94" s="306"/>
      <c r="J94" s="304" t="s">
        <v>87</v>
      </c>
      <c r="K94" s="307">
        <v>43405</v>
      </c>
      <c r="L94" s="309">
        <v>43830</v>
      </c>
      <c r="M94" s="306" t="s">
        <v>89</v>
      </c>
      <c r="N94" s="304" t="s">
        <v>90</v>
      </c>
      <c r="O94" s="306" t="s">
        <v>67</v>
      </c>
      <c r="P94" s="304">
        <v>1</v>
      </c>
      <c r="Q94" s="304">
        <v>1</v>
      </c>
      <c r="R94" s="304">
        <v>1</v>
      </c>
      <c r="S94" s="308">
        <v>0</v>
      </c>
    </row>
    <row r="95" spans="1:19" ht="120">
      <c r="A95" s="303">
        <v>90</v>
      </c>
      <c r="B95" s="304">
        <v>132</v>
      </c>
      <c r="C95" s="305" t="s">
        <v>215</v>
      </c>
      <c r="D95" s="306" t="s">
        <v>216</v>
      </c>
      <c r="E95" s="305" t="s">
        <v>766</v>
      </c>
      <c r="F95" s="306" t="s">
        <v>25</v>
      </c>
      <c r="G95" s="306" t="s">
        <v>1044</v>
      </c>
      <c r="H95" s="306" t="s">
        <v>1144</v>
      </c>
      <c r="I95" s="306"/>
      <c r="J95" s="304" t="s">
        <v>87</v>
      </c>
      <c r="K95" s="307">
        <v>43405</v>
      </c>
      <c r="L95" s="309">
        <v>44196</v>
      </c>
      <c r="M95" s="306" t="s">
        <v>89</v>
      </c>
      <c r="N95" s="304" t="s">
        <v>90</v>
      </c>
      <c r="O95" s="306" t="s">
        <v>67</v>
      </c>
      <c r="P95" s="304">
        <v>1</v>
      </c>
      <c r="Q95" s="304">
        <v>1</v>
      </c>
      <c r="R95" s="304">
        <v>1</v>
      </c>
      <c r="S95" s="308">
        <v>0</v>
      </c>
    </row>
    <row r="96" spans="1:19" ht="120">
      <c r="A96" s="303">
        <v>91</v>
      </c>
      <c r="B96" s="304">
        <v>133</v>
      </c>
      <c r="C96" s="305" t="s">
        <v>215</v>
      </c>
      <c r="D96" s="306" t="s">
        <v>216</v>
      </c>
      <c r="E96" s="305" t="s">
        <v>766</v>
      </c>
      <c r="F96" s="306" t="s">
        <v>25</v>
      </c>
      <c r="G96" s="306" t="s">
        <v>1044</v>
      </c>
      <c r="H96" s="306" t="s">
        <v>1151</v>
      </c>
      <c r="I96" s="306"/>
      <c r="J96" s="304" t="s">
        <v>87</v>
      </c>
      <c r="K96" s="307">
        <v>43405</v>
      </c>
      <c r="L96" s="309">
        <v>45657</v>
      </c>
      <c r="M96" s="306" t="s">
        <v>439</v>
      </c>
      <c r="N96" s="304" t="s">
        <v>90</v>
      </c>
      <c r="O96" s="306" t="s">
        <v>67</v>
      </c>
      <c r="P96" s="304">
        <v>1</v>
      </c>
      <c r="Q96" s="304">
        <v>1</v>
      </c>
      <c r="R96" s="304">
        <v>1</v>
      </c>
      <c r="S96" s="308">
        <v>0</v>
      </c>
    </row>
    <row r="97" spans="1:19" ht="120">
      <c r="A97" s="303">
        <v>92</v>
      </c>
      <c r="B97" s="304">
        <v>134</v>
      </c>
      <c r="C97" s="305" t="s">
        <v>215</v>
      </c>
      <c r="D97" s="306" t="s">
        <v>216</v>
      </c>
      <c r="E97" s="305" t="s">
        <v>766</v>
      </c>
      <c r="F97" s="306" t="s">
        <v>25</v>
      </c>
      <c r="G97" s="306" t="s">
        <v>1044</v>
      </c>
      <c r="H97" s="306" t="s">
        <v>1158</v>
      </c>
      <c r="I97" s="306"/>
      <c r="J97" s="304" t="s">
        <v>87</v>
      </c>
      <c r="K97" s="307">
        <v>43405</v>
      </c>
      <c r="L97" s="309">
        <v>45657</v>
      </c>
      <c r="M97" s="306" t="s">
        <v>221</v>
      </c>
      <c r="N97" s="304" t="s">
        <v>90</v>
      </c>
      <c r="O97" s="306" t="s">
        <v>67</v>
      </c>
      <c r="P97" s="304">
        <v>1</v>
      </c>
      <c r="Q97" s="304">
        <v>1</v>
      </c>
      <c r="R97" s="304">
        <v>1</v>
      </c>
      <c r="S97" s="308">
        <v>0</v>
      </c>
    </row>
    <row r="98" spans="1:19" ht="120">
      <c r="A98" s="303">
        <v>93</v>
      </c>
      <c r="B98" s="304">
        <v>135</v>
      </c>
      <c r="C98" s="305" t="s">
        <v>215</v>
      </c>
      <c r="D98" s="306" t="s">
        <v>216</v>
      </c>
      <c r="E98" s="305" t="s">
        <v>766</v>
      </c>
      <c r="F98" s="306" t="s">
        <v>25</v>
      </c>
      <c r="G98" s="306" t="s">
        <v>1044</v>
      </c>
      <c r="H98" s="306" t="s">
        <v>1163</v>
      </c>
      <c r="I98" s="306"/>
      <c r="J98" s="304" t="s">
        <v>87</v>
      </c>
      <c r="K98" s="307">
        <v>43405</v>
      </c>
      <c r="L98" s="309">
        <v>45657</v>
      </c>
      <c r="M98" s="306" t="s">
        <v>205</v>
      </c>
      <c r="N98" s="304" t="s">
        <v>96</v>
      </c>
      <c r="O98" s="306" t="s">
        <v>67</v>
      </c>
      <c r="P98" s="304">
        <v>1</v>
      </c>
      <c r="Q98" s="304">
        <v>1</v>
      </c>
      <c r="R98" s="304">
        <v>1</v>
      </c>
      <c r="S98" s="308">
        <v>0</v>
      </c>
    </row>
    <row r="99" spans="1:19" ht="120">
      <c r="A99" s="303">
        <v>94</v>
      </c>
      <c r="B99" s="304">
        <v>136</v>
      </c>
      <c r="C99" s="305" t="s">
        <v>215</v>
      </c>
      <c r="D99" s="306" t="s">
        <v>216</v>
      </c>
      <c r="E99" s="305" t="s">
        <v>766</v>
      </c>
      <c r="F99" s="306" t="s">
        <v>25</v>
      </c>
      <c r="G99" s="306" t="s">
        <v>1044</v>
      </c>
      <c r="H99" s="306" t="s">
        <v>1166</v>
      </c>
      <c r="I99" s="306"/>
      <c r="J99" s="304" t="s">
        <v>87</v>
      </c>
      <c r="K99" s="307">
        <v>43405</v>
      </c>
      <c r="L99" s="309">
        <v>45657</v>
      </c>
      <c r="M99" s="306" t="s">
        <v>205</v>
      </c>
      <c r="N99" s="304" t="s">
        <v>96</v>
      </c>
      <c r="O99" s="306" t="s">
        <v>67</v>
      </c>
      <c r="P99" s="304">
        <v>1</v>
      </c>
      <c r="Q99" s="304">
        <v>1</v>
      </c>
      <c r="R99" s="304">
        <v>1</v>
      </c>
      <c r="S99" s="308">
        <v>0</v>
      </c>
    </row>
    <row r="100" spans="1:19" ht="48">
      <c r="A100" s="303">
        <v>95</v>
      </c>
      <c r="B100" s="304">
        <v>137</v>
      </c>
      <c r="C100" s="305" t="s">
        <v>215</v>
      </c>
      <c r="D100" s="306" t="s">
        <v>216</v>
      </c>
      <c r="E100" s="305" t="s">
        <v>766</v>
      </c>
      <c r="F100" s="306" t="s">
        <v>25</v>
      </c>
      <c r="G100" s="306" t="s">
        <v>1044</v>
      </c>
      <c r="H100" s="306" t="s">
        <v>1171</v>
      </c>
      <c r="I100" s="306"/>
      <c r="J100" s="304" t="s">
        <v>87</v>
      </c>
      <c r="K100" s="307">
        <v>43405</v>
      </c>
      <c r="L100" s="309">
        <v>44561</v>
      </c>
      <c r="M100" s="306" t="s">
        <v>205</v>
      </c>
      <c r="N100" s="304" t="s">
        <v>96</v>
      </c>
      <c r="O100" s="306" t="s">
        <v>51</v>
      </c>
      <c r="P100" s="304">
        <v>1</v>
      </c>
      <c r="Q100" s="304">
        <v>1</v>
      </c>
      <c r="R100" s="304">
        <v>1</v>
      </c>
      <c r="S100" s="308">
        <v>0</v>
      </c>
    </row>
    <row r="101" spans="1:19" ht="48">
      <c r="A101" s="303">
        <v>96</v>
      </c>
      <c r="B101" s="304">
        <v>138</v>
      </c>
      <c r="C101" s="305" t="s">
        <v>215</v>
      </c>
      <c r="D101" s="306" t="s">
        <v>216</v>
      </c>
      <c r="E101" s="305" t="s">
        <v>766</v>
      </c>
      <c r="F101" s="306" t="s">
        <v>25</v>
      </c>
      <c r="G101" s="306" t="s">
        <v>1044</v>
      </c>
      <c r="H101" s="306" t="s">
        <v>1176</v>
      </c>
      <c r="I101" s="306"/>
      <c r="J101" s="304" t="s">
        <v>87</v>
      </c>
      <c r="K101" s="307">
        <v>43405</v>
      </c>
      <c r="L101" s="309">
        <v>44196</v>
      </c>
      <c r="M101" s="306" t="s">
        <v>205</v>
      </c>
      <c r="N101" s="304" t="s">
        <v>96</v>
      </c>
      <c r="O101" s="306" t="s">
        <v>51</v>
      </c>
      <c r="P101" s="304">
        <v>1</v>
      </c>
      <c r="Q101" s="304">
        <v>1</v>
      </c>
      <c r="R101" s="304">
        <v>1</v>
      </c>
      <c r="S101" s="308">
        <v>0</v>
      </c>
    </row>
    <row r="102" spans="1:19" ht="120">
      <c r="A102" s="303">
        <v>97</v>
      </c>
      <c r="B102" s="304">
        <v>139</v>
      </c>
      <c r="C102" s="305" t="s">
        <v>215</v>
      </c>
      <c r="D102" s="306" t="s">
        <v>216</v>
      </c>
      <c r="E102" s="305" t="s">
        <v>766</v>
      </c>
      <c r="F102" s="306" t="s">
        <v>25</v>
      </c>
      <c r="G102" s="306" t="s">
        <v>1044</v>
      </c>
      <c r="H102" s="306" t="s">
        <v>1179</v>
      </c>
      <c r="I102" s="306"/>
      <c r="J102" s="304" t="s">
        <v>87</v>
      </c>
      <c r="K102" s="307">
        <v>43405</v>
      </c>
      <c r="L102" s="309">
        <v>44196</v>
      </c>
      <c r="M102" s="306" t="s">
        <v>205</v>
      </c>
      <c r="N102" s="304" t="s">
        <v>96</v>
      </c>
      <c r="O102" s="306" t="s">
        <v>67</v>
      </c>
      <c r="P102" s="304">
        <v>1</v>
      </c>
      <c r="Q102" s="304">
        <v>1</v>
      </c>
      <c r="R102" s="304">
        <v>1</v>
      </c>
      <c r="S102" s="308">
        <v>0</v>
      </c>
    </row>
    <row r="103" spans="1:19" ht="120">
      <c r="A103" s="303">
        <v>98</v>
      </c>
      <c r="B103" s="304">
        <v>140</v>
      </c>
      <c r="C103" s="305" t="s">
        <v>215</v>
      </c>
      <c r="D103" s="306" t="s">
        <v>216</v>
      </c>
      <c r="E103" s="305" t="s">
        <v>766</v>
      </c>
      <c r="F103" s="306" t="s">
        <v>25</v>
      </c>
      <c r="G103" s="306" t="s">
        <v>1044</v>
      </c>
      <c r="H103" s="306" t="s">
        <v>1181</v>
      </c>
      <c r="I103" s="306"/>
      <c r="J103" s="304" t="s">
        <v>87</v>
      </c>
      <c r="K103" s="307">
        <v>43405</v>
      </c>
      <c r="L103" s="309">
        <v>44561</v>
      </c>
      <c r="M103" s="306" t="s">
        <v>205</v>
      </c>
      <c r="N103" s="304" t="s">
        <v>96</v>
      </c>
      <c r="O103" s="306" t="s">
        <v>67</v>
      </c>
      <c r="P103" s="304">
        <v>1</v>
      </c>
      <c r="Q103" s="304">
        <v>1</v>
      </c>
      <c r="R103" s="304">
        <v>1</v>
      </c>
      <c r="S103" s="308">
        <v>0</v>
      </c>
    </row>
    <row r="104" spans="1:19" ht="120">
      <c r="A104" s="303">
        <v>99</v>
      </c>
      <c r="B104" s="304">
        <v>141</v>
      </c>
      <c r="C104" s="305" t="s">
        <v>215</v>
      </c>
      <c r="D104" s="306" t="s">
        <v>216</v>
      </c>
      <c r="E104" s="305" t="s">
        <v>766</v>
      </c>
      <c r="F104" s="306" t="s">
        <v>25</v>
      </c>
      <c r="G104" s="306" t="s">
        <v>1044</v>
      </c>
      <c r="H104" s="306" t="s">
        <v>1189</v>
      </c>
      <c r="I104" s="306"/>
      <c r="J104" s="304" t="s">
        <v>87</v>
      </c>
      <c r="K104" s="307">
        <v>43405</v>
      </c>
      <c r="L104" s="309">
        <v>45657</v>
      </c>
      <c r="M104" s="306" t="s">
        <v>205</v>
      </c>
      <c r="N104" s="304" t="s">
        <v>96</v>
      </c>
      <c r="O104" s="306" t="s">
        <v>67</v>
      </c>
      <c r="P104" s="304">
        <v>1</v>
      </c>
      <c r="Q104" s="304">
        <v>1</v>
      </c>
      <c r="R104" s="304">
        <v>1</v>
      </c>
      <c r="S104" s="308">
        <v>0</v>
      </c>
    </row>
    <row r="105" spans="1:19" ht="120">
      <c r="A105" s="303">
        <v>100</v>
      </c>
      <c r="B105" s="304">
        <v>142</v>
      </c>
      <c r="C105" s="305" t="s">
        <v>215</v>
      </c>
      <c r="D105" s="306" t="s">
        <v>216</v>
      </c>
      <c r="E105" s="305" t="s">
        <v>766</v>
      </c>
      <c r="F105" s="306" t="s">
        <v>25</v>
      </c>
      <c r="G105" s="306" t="s">
        <v>1044</v>
      </c>
      <c r="H105" s="306" t="s">
        <v>1198</v>
      </c>
      <c r="I105" s="306"/>
      <c r="J105" s="304" t="s">
        <v>87</v>
      </c>
      <c r="K105" s="307">
        <v>43405</v>
      </c>
      <c r="L105" s="309">
        <v>45657</v>
      </c>
      <c r="M105" s="306" t="s">
        <v>221</v>
      </c>
      <c r="N105" s="304" t="s">
        <v>96</v>
      </c>
      <c r="O105" s="306" t="s">
        <v>67</v>
      </c>
      <c r="P105" s="304">
        <v>1</v>
      </c>
      <c r="Q105" s="304">
        <v>1</v>
      </c>
      <c r="R105" s="304">
        <v>1</v>
      </c>
      <c r="S105" s="308">
        <v>0</v>
      </c>
    </row>
    <row r="106" spans="1:19" ht="120">
      <c r="A106" s="303">
        <v>101</v>
      </c>
      <c r="B106" s="304">
        <v>143</v>
      </c>
      <c r="C106" s="305" t="s">
        <v>215</v>
      </c>
      <c r="D106" s="306" t="s">
        <v>216</v>
      </c>
      <c r="E106" s="305" t="s">
        <v>766</v>
      </c>
      <c r="F106" s="306" t="s">
        <v>25</v>
      </c>
      <c r="G106" s="306" t="s">
        <v>1044</v>
      </c>
      <c r="H106" s="306" t="s">
        <v>1209</v>
      </c>
      <c r="I106" s="306"/>
      <c r="J106" s="304" t="s">
        <v>87</v>
      </c>
      <c r="K106" s="307">
        <v>43405</v>
      </c>
      <c r="L106" s="309">
        <v>44196</v>
      </c>
      <c r="M106" s="306" t="s">
        <v>205</v>
      </c>
      <c r="N106" s="304" t="s">
        <v>96</v>
      </c>
      <c r="O106" s="306" t="s">
        <v>67</v>
      </c>
      <c r="P106" s="304">
        <v>1</v>
      </c>
      <c r="Q106" s="304">
        <v>1</v>
      </c>
      <c r="R106" s="304">
        <v>1</v>
      </c>
      <c r="S106" s="308">
        <v>0</v>
      </c>
    </row>
    <row r="107" spans="1:19" ht="120">
      <c r="A107" s="303">
        <v>102</v>
      </c>
      <c r="B107" s="304">
        <v>144</v>
      </c>
      <c r="C107" s="305" t="s">
        <v>215</v>
      </c>
      <c r="D107" s="306" t="s">
        <v>216</v>
      </c>
      <c r="E107" s="305" t="s">
        <v>766</v>
      </c>
      <c r="F107" s="306" t="s">
        <v>25</v>
      </c>
      <c r="G107" s="306" t="s">
        <v>1044</v>
      </c>
      <c r="H107" s="306" t="s">
        <v>1213</v>
      </c>
      <c r="I107" s="306" t="s">
        <v>1214</v>
      </c>
      <c r="J107" s="304" t="s">
        <v>87</v>
      </c>
      <c r="K107" s="307">
        <v>43405</v>
      </c>
      <c r="L107" s="309">
        <v>45657</v>
      </c>
      <c r="M107" s="306" t="s">
        <v>205</v>
      </c>
      <c r="N107" s="304" t="s">
        <v>90</v>
      </c>
      <c r="O107" s="306" t="s">
        <v>67</v>
      </c>
      <c r="P107" s="304">
        <v>1</v>
      </c>
      <c r="Q107" s="304">
        <v>1</v>
      </c>
      <c r="R107" s="304">
        <v>1</v>
      </c>
      <c r="S107" s="308">
        <v>0</v>
      </c>
    </row>
    <row r="108" spans="1:19" ht="120">
      <c r="A108" s="303">
        <v>103</v>
      </c>
      <c r="B108" s="304">
        <v>145</v>
      </c>
      <c r="C108" s="305" t="s">
        <v>215</v>
      </c>
      <c r="D108" s="306" t="s">
        <v>216</v>
      </c>
      <c r="E108" s="305" t="s">
        <v>766</v>
      </c>
      <c r="F108" s="306" t="s">
        <v>25</v>
      </c>
      <c r="G108" s="306" t="s">
        <v>1044</v>
      </c>
      <c r="H108" s="306" t="s">
        <v>1216</v>
      </c>
      <c r="I108" s="306"/>
      <c r="J108" s="304" t="s">
        <v>87</v>
      </c>
      <c r="K108" s="307">
        <v>43405</v>
      </c>
      <c r="L108" s="309">
        <v>44196</v>
      </c>
      <c r="M108" s="306" t="s">
        <v>209</v>
      </c>
      <c r="N108" s="304" t="s">
        <v>90</v>
      </c>
      <c r="O108" s="306" t="s">
        <v>67</v>
      </c>
      <c r="P108" s="304">
        <v>1</v>
      </c>
      <c r="Q108" s="304">
        <v>1</v>
      </c>
      <c r="R108" s="304">
        <v>1</v>
      </c>
      <c r="S108" s="308">
        <v>0</v>
      </c>
    </row>
    <row r="109" spans="1:19" ht="48">
      <c r="A109" s="303">
        <v>104</v>
      </c>
      <c r="B109" s="304">
        <v>146</v>
      </c>
      <c r="C109" s="305" t="s">
        <v>215</v>
      </c>
      <c r="D109" s="306" t="s">
        <v>216</v>
      </c>
      <c r="E109" s="305" t="s">
        <v>766</v>
      </c>
      <c r="F109" s="306" t="s">
        <v>25</v>
      </c>
      <c r="G109" s="306" t="s">
        <v>1044</v>
      </c>
      <c r="H109" s="306" t="s">
        <v>1220</v>
      </c>
      <c r="I109" s="306"/>
      <c r="J109" s="304" t="s">
        <v>87</v>
      </c>
      <c r="K109" s="307">
        <v>43405</v>
      </c>
      <c r="L109" s="307">
        <v>43738</v>
      </c>
      <c r="M109" s="306" t="s">
        <v>89</v>
      </c>
      <c r="N109" s="304" t="s">
        <v>90</v>
      </c>
      <c r="O109" s="306" t="s">
        <v>51</v>
      </c>
      <c r="P109" s="304">
        <v>1</v>
      </c>
      <c r="Q109" s="304">
        <v>1</v>
      </c>
      <c r="R109" s="304">
        <v>1</v>
      </c>
      <c r="S109" s="308">
        <v>0</v>
      </c>
    </row>
    <row r="110" spans="1:19" ht="120">
      <c r="A110" s="303">
        <v>105</v>
      </c>
      <c r="B110" s="304">
        <v>147</v>
      </c>
      <c r="C110" s="305" t="s">
        <v>215</v>
      </c>
      <c r="D110" s="306" t="s">
        <v>216</v>
      </c>
      <c r="E110" s="305" t="s">
        <v>766</v>
      </c>
      <c r="F110" s="306" t="s">
        <v>25</v>
      </c>
      <c r="G110" s="306" t="s">
        <v>1044</v>
      </c>
      <c r="H110" s="306" t="s">
        <v>1229</v>
      </c>
      <c r="I110" s="306"/>
      <c r="J110" s="304" t="s">
        <v>87</v>
      </c>
      <c r="K110" s="307">
        <v>43405</v>
      </c>
      <c r="L110" s="309">
        <v>43830</v>
      </c>
      <c r="M110" s="306" t="s">
        <v>89</v>
      </c>
      <c r="N110" s="304" t="s">
        <v>90</v>
      </c>
      <c r="O110" s="306" t="s">
        <v>67</v>
      </c>
      <c r="P110" s="304">
        <v>1</v>
      </c>
      <c r="Q110" s="304">
        <v>1</v>
      </c>
      <c r="R110" s="304">
        <v>1</v>
      </c>
      <c r="S110" s="308">
        <v>0</v>
      </c>
    </row>
    <row r="111" spans="1:19" ht="120">
      <c r="A111" s="303">
        <v>106</v>
      </c>
      <c r="B111" s="304">
        <v>148</v>
      </c>
      <c r="C111" s="305" t="s">
        <v>215</v>
      </c>
      <c r="D111" s="306" t="s">
        <v>216</v>
      </c>
      <c r="E111" s="305" t="s">
        <v>766</v>
      </c>
      <c r="F111" s="306" t="s">
        <v>25</v>
      </c>
      <c r="G111" s="306" t="s">
        <v>1044</v>
      </c>
      <c r="H111" s="306" t="s">
        <v>1240</v>
      </c>
      <c r="I111" s="306"/>
      <c r="J111" s="304" t="s">
        <v>87</v>
      </c>
      <c r="K111" s="307">
        <v>43405</v>
      </c>
      <c r="L111" s="309">
        <v>44196</v>
      </c>
      <c r="M111" s="306" t="s">
        <v>89</v>
      </c>
      <c r="N111" s="304" t="s">
        <v>90</v>
      </c>
      <c r="O111" s="306" t="s">
        <v>67</v>
      </c>
      <c r="P111" s="304">
        <v>1</v>
      </c>
      <c r="Q111" s="304">
        <v>1</v>
      </c>
      <c r="R111" s="304">
        <v>1</v>
      </c>
      <c r="S111" s="308">
        <v>0</v>
      </c>
    </row>
    <row r="112" spans="1:19" ht="120">
      <c r="A112" s="303">
        <v>107</v>
      </c>
      <c r="B112" s="304">
        <v>149</v>
      </c>
      <c r="C112" s="305" t="s">
        <v>215</v>
      </c>
      <c r="D112" s="306" t="s">
        <v>216</v>
      </c>
      <c r="E112" s="305" t="s">
        <v>766</v>
      </c>
      <c r="F112" s="306" t="s">
        <v>25</v>
      </c>
      <c r="G112" s="306" t="s">
        <v>1044</v>
      </c>
      <c r="H112" s="306" t="s">
        <v>1247</v>
      </c>
      <c r="I112" s="306" t="s">
        <v>1248</v>
      </c>
      <c r="J112" s="304" t="s">
        <v>87</v>
      </c>
      <c r="K112" s="307">
        <v>43405</v>
      </c>
      <c r="L112" s="309">
        <v>45596</v>
      </c>
      <c r="M112" s="306" t="s">
        <v>221</v>
      </c>
      <c r="N112" s="304" t="s">
        <v>96</v>
      </c>
      <c r="O112" s="306" t="s">
        <v>67</v>
      </c>
      <c r="P112" s="304">
        <v>1</v>
      </c>
      <c r="Q112" s="304">
        <v>1</v>
      </c>
      <c r="R112" s="304">
        <v>1</v>
      </c>
      <c r="S112" s="308">
        <v>0</v>
      </c>
    </row>
    <row r="113" spans="1:19" ht="120">
      <c r="A113" s="303">
        <v>108</v>
      </c>
      <c r="B113" s="304">
        <v>150</v>
      </c>
      <c r="C113" s="305" t="s">
        <v>215</v>
      </c>
      <c r="D113" s="306" t="s">
        <v>216</v>
      </c>
      <c r="E113" s="305" t="s">
        <v>766</v>
      </c>
      <c r="F113" s="306" t="s">
        <v>25</v>
      </c>
      <c r="G113" s="306" t="s">
        <v>1044</v>
      </c>
      <c r="H113" s="306" t="s">
        <v>1253</v>
      </c>
      <c r="I113" s="306"/>
      <c r="J113" s="304" t="s">
        <v>87</v>
      </c>
      <c r="K113" s="307">
        <v>43405</v>
      </c>
      <c r="L113" s="309">
        <v>45657</v>
      </c>
      <c r="M113" s="306" t="s">
        <v>211</v>
      </c>
      <c r="N113" s="304" t="s">
        <v>96</v>
      </c>
      <c r="O113" s="306" t="s">
        <v>67</v>
      </c>
      <c r="P113" s="304">
        <v>1</v>
      </c>
      <c r="Q113" s="304">
        <v>1</v>
      </c>
      <c r="R113" s="304">
        <v>1</v>
      </c>
      <c r="S113" s="308">
        <v>0</v>
      </c>
    </row>
    <row r="114" spans="1:19" ht="120">
      <c r="A114" s="303">
        <v>109</v>
      </c>
      <c r="B114" s="304">
        <v>151</v>
      </c>
      <c r="C114" s="305" t="s">
        <v>215</v>
      </c>
      <c r="D114" s="306" t="s">
        <v>216</v>
      </c>
      <c r="E114" s="305" t="s">
        <v>766</v>
      </c>
      <c r="F114" s="306" t="s">
        <v>25</v>
      </c>
      <c r="G114" s="306" t="s">
        <v>1044</v>
      </c>
      <c r="H114" s="306" t="s">
        <v>1256</v>
      </c>
      <c r="I114" s="306"/>
      <c r="J114" s="304" t="s">
        <v>87</v>
      </c>
      <c r="K114" s="307">
        <v>43405</v>
      </c>
      <c r="L114" s="309">
        <v>45657</v>
      </c>
      <c r="M114" s="306" t="s">
        <v>205</v>
      </c>
      <c r="N114" s="304" t="s">
        <v>96</v>
      </c>
      <c r="O114" s="306" t="s">
        <v>67</v>
      </c>
      <c r="P114" s="304">
        <v>1</v>
      </c>
      <c r="Q114" s="304">
        <v>1</v>
      </c>
      <c r="R114" s="304">
        <v>1</v>
      </c>
      <c r="S114" s="308">
        <v>0</v>
      </c>
    </row>
    <row r="115" spans="1:19" ht="120">
      <c r="A115" s="303">
        <v>110</v>
      </c>
      <c r="B115" s="304">
        <v>152</v>
      </c>
      <c r="C115" s="305" t="s">
        <v>215</v>
      </c>
      <c r="D115" s="306" t="s">
        <v>216</v>
      </c>
      <c r="E115" s="305" t="s">
        <v>766</v>
      </c>
      <c r="F115" s="306" t="s">
        <v>25</v>
      </c>
      <c r="G115" s="306" t="s">
        <v>1044</v>
      </c>
      <c r="H115" s="306" t="s">
        <v>1260</v>
      </c>
      <c r="I115" s="306"/>
      <c r="J115" s="304" t="s">
        <v>87</v>
      </c>
      <c r="K115" s="307">
        <v>43405</v>
      </c>
      <c r="L115" s="309">
        <v>45657</v>
      </c>
      <c r="M115" s="306" t="s">
        <v>205</v>
      </c>
      <c r="N115" s="304" t="s">
        <v>96</v>
      </c>
      <c r="O115" s="306" t="s">
        <v>67</v>
      </c>
      <c r="P115" s="304">
        <v>1</v>
      </c>
      <c r="Q115" s="304">
        <v>1</v>
      </c>
      <c r="R115" s="304">
        <v>1</v>
      </c>
      <c r="S115" s="308">
        <v>0</v>
      </c>
    </row>
    <row r="116" spans="1:19" ht="108">
      <c r="A116" s="303">
        <v>111</v>
      </c>
      <c r="B116" s="304">
        <v>153</v>
      </c>
      <c r="C116" s="305" t="s">
        <v>215</v>
      </c>
      <c r="D116" s="306" t="s">
        <v>216</v>
      </c>
      <c r="E116" s="305" t="s">
        <v>768</v>
      </c>
      <c r="F116" s="306" t="s">
        <v>76</v>
      </c>
      <c r="G116" s="306" t="s">
        <v>1264</v>
      </c>
      <c r="H116" s="306" t="s">
        <v>1265</v>
      </c>
      <c r="I116" s="306" t="s">
        <v>1266</v>
      </c>
      <c r="J116" s="304" t="s">
        <v>87</v>
      </c>
      <c r="K116" s="307">
        <v>43466</v>
      </c>
      <c r="L116" s="309">
        <v>43830</v>
      </c>
      <c r="M116" s="306" t="s">
        <v>89</v>
      </c>
      <c r="N116" s="304" t="s">
        <v>90</v>
      </c>
      <c r="O116" s="306" t="s">
        <v>71</v>
      </c>
      <c r="P116" s="304">
        <v>1</v>
      </c>
      <c r="Q116" s="304">
        <v>1</v>
      </c>
      <c r="R116" s="304">
        <v>1</v>
      </c>
      <c r="S116" s="308">
        <v>0</v>
      </c>
    </row>
    <row r="117" spans="1:19" ht="180">
      <c r="A117" s="303">
        <v>112</v>
      </c>
      <c r="B117" s="304">
        <v>154</v>
      </c>
      <c r="C117" s="305" t="s">
        <v>215</v>
      </c>
      <c r="D117" s="306" t="s">
        <v>216</v>
      </c>
      <c r="E117" s="305" t="s">
        <v>768</v>
      </c>
      <c r="F117" s="306" t="s">
        <v>76</v>
      </c>
      <c r="G117" s="306" t="s">
        <v>1264</v>
      </c>
      <c r="H117" s="306" t="s">
        <v>1269</v>
      </c>
      <c r="I117" s="306" t="s">
        <v>1270</v>
      </c>
      <c r="J117" s="304" t="s">
        <v>87</v>
      </c>
      <c r="K117" s="307">
        <v>43466</v>
      </c>
      <c r="L117" s="309">
        <v>44561</v>
      </c>
      <c r="M117" s="306" t="s">
        <v>89</v>
      </c>
      <c r="N117" s="304" t="s">
        <v>90</v>
      </c>
      <c r="O117" s="306" t="s">
        <v>71</v>
      </c>
      <c r="P117" s="304">
        <v>1</v>
      </c>
      <c r="Q117" s="304">
        <v>1</v>
      </c>
      <c r="R117" s="304">
        <v>1</v>
      </c>
      <c r="S117" s="308">
        <v>0</v>
      </c>
    </row>
    <row r="118" spans="1:19" ht="156">
      <c r="A118" s="303">
        <v>113</v>
      </c>
      <c r="B118" s="304">
        <v>155</v>
      </c>
      <c r="C118" s="305" t="s">
        <v>215</v>
      </c>
      <c r="D118" s="306" t="s">
        <v>216</v>
      </c>
      <c r="E118" s="305" t="s">
        <v>768</v>
      </c>
      <c r="F118" s="306" t="s">
        <v>76</v>
      </c>
      <c r="G118" s="306" t="s">
        <v>1264</v>
      </c>
      <c r="H118" s="306" t="s">
        <v>1272</v>
      </c>
      <c r="I118" s="306" t="s">
        <v>1273</v>
      </c>
      <c r="J118" s="304" t="s">
        <v>87</v>
      </c>
      <c r="K118" s="307">
        <v>43466</v>
      </c>
      <c r="L118" s="307">
        <v>43555</v>
      </c>
      <c r="M118" s="306" t="s">
        <v>89</v>
      </c>
      <c r="N118" s="304" t="s">
        <v>90</v>
      </c>
      <c r="O118" s="306" t="s">
        <v>71</v>
      </c>
      <c r="P118" s="304">
        <v>1</v>
      </c>
      <c r="Q118" s="304">
        <v>1</v>
      </c>
      <c r="R118" s="304">
        <v>1</v>
      </c>
      <c r="S118" s="308">
        <v>0</v>
      </c>
    </row>
    <row r="119" spans="1:19" ht="108">
      <c r="A119" s="303">
        <v>114</v>
      </c>
      <c r="B119" s="304">
        <v>156</v>
      </c>
      <c r="C119" s="305" t="s">
        <v>215</v>
      </c>
      <c r="D119" s="306" t="s">
        <v>216</v>
      </c>
      <c r="E119" s="305" t="s">
        <v>768</v>
      </c>
      <c r="F119" s="306" t="s">
        <v>76</v>
      </c>
      <c r="G119" s="306" t="s">
        <v>1264</v>
      </c>
      <c r="H119" s="306" t="s">
        <v>1281</v>
      </c>
      <c r="I119" s="306" t="s">
        <v>1282</v>
      </c>
      <c r="J119" s="304" t="s">
        <v>87</v>
      </c>
      <c r="K119" s="307">
        <v>43466</v>
      </c>
      <c r="L119" s="307">
        <v>43555</v>
      </c>
      <c r="M119" s="306" t="s">
        <v>89</v>
      </c>
      <c r="N119" s="304" t="s">
        <v>90</v>
      </c>
      <c r="O119" s="306" t="s">
        <v>71</v>
      </c>
      <c r="P119" s="304">
        <v>1</v>
      </c>
      <c r="Q119" s="304">
        <v>1</v>
      </c>
      <c r="R119" s="304">
        <v>1</v>
      </c>
      <c r="S119" s="308">
        <v>0</v>
      </c>
    </row>
    <row r="120" spans="1:19" ht="108">
      <c r="A120" s="303">
        <v>115</v>
      </c>
      <c r="B120" s="304">
        <v>157</v>
      </c>
      <c r="C120" s="305" t="s">
        <v>215</v>
      </c>
      <c r="D120" s="306" t="s">
        <v>216</v>
      </c>
      <c r="E120" s="305" t="s">
        <v>768</v>
      </c>
      <c r="F120" s="306" t="s">
        <v>76</v>
      </c>
      <c r="G120" s="306" t="s">
        <v>1264</v>
      </c>
      <c r="H120" s="306" t="s">
        <v>1288</v>
      </c>
      <c r="I120" s="306" t="s">
        <v>1289</v>
      </c>
      <c r="J120" s="304" t="s">
        <v>87</v>
      </c>
      <c r="K120" s="307">
        <v>43466</v>
      </c>
      <c r="L120" s="307">
        <v>43646</v>
      </c>
      <c r="M120" s="306" t="s">
        <v>221</v>
      </c>
      <c r="N120" s="304" t="s">
        <v>90</v>
      </c>
      <c r="O120" s="306" t="s">
        <v>71</v>
      </c>
      <c r="P120" s="304">
        <v>1</v>
      </c>
      <c r="Q120" s="304">
        <v>1</v>
      </c>
      <c r="R120" s="304">
        <v>1</v>
      </c>
      <c r="S120" s="308">
        <v>0</v>
      </c>
    </row>
    <row r="121" spans="1:19" ht="108">
      <c r="A121" s="303">
        <v>116</v>
      </c>
      <c r="B121" s="304">
        <v>158</v>
      </c>
      <c r="C121" s="305" t="s">
        <v>215</v>
      </c>
      <c r="D121" s="306" t="s">
        <v>216</v>
      </c>
      <c r="E121" s="305" t="s">
        <v>768</v>
      </c>
      <c r="F121" s="306" t="s">
        <v>76</v>
      </c>
      <c r="G121" s="306" t="s">
        <v>1264</v>
      </c>
      <c r="H121" s="306" t="s">
        <v>1297</v>
      </c>
      <c r="I121" s="306" t="s">
        <v>1299</v>
      </c>
      <c r="J121" s="304" t="s">
        <v>87</v>
      </c>
      <c r="K121" s="307">
        <v>43466</v>
      </c>
      <c r="L121" s="309">
        <v>43830</v>
      </c>
      <c r="M121" s="306" t="s">
        <v>221</v>
      </c>
      <c r="N121" s="304" t="s">
        <v>90</v>
      </c>
      <c r="O121" s="306" t="s">
        <v>71</v>
      </c>
      <c r="P121" s="304">
        <v>1</v>
      </c>
      <c r="Q121" s="304">
        <v>1</v>
      </c>
      <c r="R121" s="304">
        <v>1</v>
      </c>
      <c r="S121" s="308">
        <v>0</v>
      </c>
    </row>
    <row r="122" spans="1:19" ht="156">
      <c r="A122" s="303">
        <v>117</v>
      </c>
      <c r="B122" s="304">
        <v>159</v>
      </c>
      <c r="C122" s="305" t="s">
        <v>215</v>
      </c>
      <c r="D122" s="306" t="s">
        <v>216</v>
      </c>
      <c r="E122" s="305" t="s">
        <v>768</v>
      </c>
      <c r="F122" s="306" t="s">
        <v>76</v>
      </c>
      <c r="G122" s="306" t="s">
        <v>1264</v>
      </c>
      <c r="H122" s="306" t="s">
        <v>1308</v>
      </c>
      <c r="I122" s="306" t="s">
        <v>1309</v>
      </c>
      <c r="J122" s="304" t="s">
        <v>87</v>
      </c>
      <c r="K122" s="307">
        <v>43466</v>
      </c>
      <c r="L122" s="307">
        <v>43708</v>
      </c>
      <c r="M122" s="306" t="s">
        <v>89</v>
      </c>
      <c r="N122" s="304" t="s">
        <v>90</v>
      </c>
      <c r="O122" s="306" t="s">
        <v>71</v>
      </c>
      <c r="P122" s="304">
        <v>1</v>
      </c>
      <c r="Q122" s="304">
        <v>1</v>
      </c>
      <c r="R122" s="304">
        <v>1</v>
      </c>
      <c r="S122" s="308">
        <v>0</v>
      </c>
    </row>
    <row r="123" spans="1:19" ht="156">
      <c r="A123" s="303">
        <v>118</v>
      </c>
      <c r="B123" s="304">
        <v>160</v>
      </c>
      <c r="C123" s="305" t="s">
        <v>215</v>
      </c>
      <c r="D123" s="306" t="s">
        <v>216</v>
      </c>
      <c r="E123" s="305" t="s">
        <v>768</v>
      </c>
      <c r="F123" s="306" t="s">
        <v>76</v>
      </c>
      <c r="G123" s="306" t="s">
        <v>1264</v>
      </c>
      <c r="H123" s="306" t="s">
        <v>1312</v>
      </c>
      <c r="I123" s="306" t="s">
        <v>1313</v>
      </c>
      <c r="J123" s="304" t="s">
        <v>87</v>
      </c>
      <c r="K123" s="307">
        <v>43466</v>
      </c>
      <c r="L123" s="309">
        <v>43830</v>
      </c>
      <c r="M123" s="306" t="s">
        <v>221</v>
      </c>
      <c r="N123" s="304" t="s">
        <v>90</v>
      </c>
      <c r="O123" s="306" t="s">
        <v>71</v>
      </c>
      <c r="P123" s="304">
        <v>1</v>
      </c>
      <c r="Q123" s="304">
        <v>1</v>
      </c>
      <c r="R123" s="304">
        <v>1</v>
      </c>
      <c r="S123" s="308">
        <v>0</v>
      </c>
    </row>
    <row r="124" spans="1:19" ht="108">
      <c r="A124" s="303">
        <v>119</v>
      </c>
      <c r="B124" s="304">
        <v>161</v>
      </c>
      <c r="C124" s="305" t="s">
        <v>215</v>
      </c>
      <c r="D124" s="306" t="s">
        <v>216</v>
      </c>
      <c r="E124" s="305" t="s">
        <v>768</v>
      </c>
      <c r="F124" s="306" t="s">
        <v>76</v>
      </c>
      <c r="G124" s="306" t="s">
        <v>1264</v>
      </c>
      <c r="H124" s="306" t="s">
        <v>1321</v>
      </c>
      <c r="I124" s="306" t="s">
        <v>1321</v>
      </c>
      <c r="J124" s="304" t="s">
        <v>87</v>
      </c>
      <c r="K124" s="307">
        <v>43466</v>
      </c>
      <c r="L124" s="309">
        <v>43830</v>
      </c>
      <c r="M124" s="306" t="s">
        <v>89</v>
      </c>
      <c r="N124" s="304" t="s">
        <v>90</v>
      </c>
      <c r="O124" s="306" t="s">
        <v>55</v>
      </c>
      <c r="P124" s="304">
        <v>1</v>
      </c>
      <c r="Q124" s="304">
        <v>1</v>
      </c>
      <c r="R124" s="304">
        <v>1</v>
      </c>
      <c r="S124" s="308">
        <v>0</v>
      </c>
    </row>
    <row r="125" spans="1:19" ht="192">
      <c r="A125" s="303">
        <v>120</v>
      </c>
      <c r="B125" s="304">
        <v>162</v>
      </c>
      <c r="C125" s="305" t="s">
        <v>215</v>
      </c>
      <c r="D125" s="306" t="s">
        <v>216</v>
      </c>
      <c r="E125" s="305" t="s">
        <v>768</v>
      </c>
      <c r="F125" s="306" t="s">
        <v>76</v>
      </c>
      <c r="G125" s="306" t="s">
        <v>1264</v>
      </c>
      <c r="H125" s="306" t="s">
        <v>1328</v>
      </c>
      <c r="I125" s="306" t="s">
        <v>1329</v>
      </c>
      <c r="J125" s="304" t="s">
        <v>87</v>
      </c>
      <c r="K125" s="307">
        <v>43466</v>
      </c>
      <c r="L125" s="309">
        <v>44561</v>
      </c>
      <c r="M125" s="306" t="s">
        <v>221</v>
      </c>
      <c r="N125" s="304" t="s">
        <v>90</v>
      </c>
      <c r="O125" s="306" t="s">
        <v>71</v>
      </c>
      <c r="P125" s="304">
        <v>1</v>
      </c>
      <c r="Q125" s="304">
        <v>1</v>
      </c>
      <c r="R125" s="304">
        <v>1</v>
      </c>
      <c r="S125" s="308">
        <v>0</v>
      </c>
    </row>
    <row r="126" spans="1:19" ht="108">
      <c r="A126" s="303">
        <v>121</v>
      </c>
      <c r="B126" s="304">
        <v>163</v>
      </c>
      <c r="C126" s="305" t="s">
        <v>215</v>
      </c>
      <c r="D126" s="306" t="s">
        <v>216</v>
      </c>
      <c r="E126" s="305" t="s">
        <v>768</v>
      </c>
      <c r="F126" s="306" t="s">
        <v>76</v>
      </c>
      <c r="G126" s="306" t="s">
        <v>1264</v>
      </c>
      <c r="H126" s="306" t="s">
        <v>1331</v>
      </c>
      <c r="I126" s="306" t="s">
        <v>1332</v>
      </c>
      <c r="J126" s="304" t="s">
        <v>87</v>
      </c>
      <c r="K126" s="307">
        <v>43466</v>
      </c>
      <c r="L126" s="307">
        <v>44227</v>
      </c>
      <c r="M126" s="306" t="s">
        <v>221</v>
      </c>
      <c r="N126" s="304" t="s">
        <v>90</v>
      </c>
      <c r="O126" s="306" t="s">
        <v>71</v>
      </c>
      <c r="P126" s="304">
        <v>1</v>
      </c>
      <c r="Q126" s="304">
        <v>1</v>
      </c>
      <c r="R126" s="304">
        <v>1</v>
      </c>
      <c r="S126" s="308">
        <v>0</v>
      </c>
    </row>
    <row r="127" spans="1:19" ht="108">
      <c r="A127" s="303">
        <v>122</v>
      </c>
      <c r="B127" s="304">
        <v>164</v>
      </c>
      <c r="C127" s="305" t="s">
        <v>215</v>
      </c>
      <c r="D127" s="306" t="s">
        <v>216</v>
      </c>
      <c r="E127" s="305" t="s">
        <v>768</v>
      </c>
      <c r="F127" s="306" t="s">
        <v>76</v>
      </c>
      <c r="G127" s="306" t="s">
        <v>1264</v>
      </c>
      <c r="H127" s="306" t="s">
        <v>1342</v>
      </c>
      <c r="I127" s="306" t="s">
        <v>1343</v>
      </c>
      <c r="J127" s="304" t="s">
        <v>87</v>
      </c>
      <c r="K127" s="307">
        <v>43466</v>
      </c>
      <c r="L127" s="309">
        <v>44561</v>
      </c>
      <c r="M127" s="306" t="s">
        <v>99</v>
      </c>
      <c r="N127" s="304" t="s">
        <v>90</v>
      </c>
      <c r="O127" s="306" t="s">
        <v>55</v>
      </c>
      <c r="P127" s="304">
        <v>1</v>
      </c>
      <c r="Q127" s="304">
        <v>1</v>
      </c>
      <c r="R127" s="304">
        <v>1</v>
      </c>
      <c r="S127" s="308">
        <v>0</v>
      </c>
    </row>
    <row r="128" spans="1:19" ht="108">
      <c r="A128" s="303">
        <v>123</v>
      </c>
      <c r="B128" s="304">
        <v>165</v>
      </c>
      <c r="C128" s="305" t="s">
        <v>215</v>
      </c>
      <c r="D128" s="306" t="s">
        <v>216</v>
      </c>
      <c r="E128" s="305" t="s">
        <v>768</v>
      </c>
      <c r="F128" s="306" t="s">
        <v>76</v>
      </c>
      <c r="G128" s="306" t="s">
        <v>1264</v>
      </c>
      <c r="H128" s="306" t="s">
        <v>1350</v>
      </c>
      <c r="I128" s="306" t="s">
        <v>1351</v>
      </c>
      <c r="J128" s="304" t="s">
        <v>87</v>
      </c>
      <c r="K128" s="307">
        <v>43466</v>
      </c>
      <c r="L128" s="309">
        <v>44561</v>
      </c>
      <c r="M128" s="306" t="s">
        <v>209</v>
      </c>
      <c r="N128" s="304" t="s">
        <v>90</v>
      </c>
      <c r="O128" s="306" t="s">
        <v>71</v>
      </c>
      <c r="P128" s="304">
        <v>1</v>
      </c>
      <c r="Q128" s="304">
        <v>1</v>
      </c>
      <c r="R128" s="304">
        <v>1</v>
      </c>
      <c r="S128" s="308">
        <v>0</v>
      </c>
    </row>
    <row r="129" spans="1:19" ht="180">
      <c r="A129" s="303">
        <v>124</v>
      </c>
      <c r="B129" s="304">
        <v>166</v>
      </c>
      <c r="C129" s="305" t="s">
        <v>215</v>
      </c>
      <c r="D129" s="306" t="s">
        <v>216</v>
      </c>
      <c r="E129" s="305" t="s">
        <v>768</v>
      </c>
      <c r="F129" s="306" t="s">
        <v>76</v>
      </c>
      <c r="G129" s="306" t="s">
        <v>1264</v>
      </c>
      <c r="H129" s="306" t="s">
        <v>1357</v>
      </c>
      <c r="I129" s="306" t="s">
        <v>1358</v>
      </c>
      <c r="J129" s="304" t="s">
        <v>87</v>
      </c>
      <c r="K129" s="307">
        <v>43466</v>
      </c>
      <c r="L129" s="309">
        <v>44561</v>
      </c>
      <c r="M129" s="306" t="s">
        <v>99</v>
      </c>
      <c r="N129" s="304" t="s">
        <v>90</v>
      </c>
      <c r="O129" s="306" t="s">
        <v>71</v>
      </c>
      <c r="P129" s="304">
        <v>1</v>
      </c>
      <c r="Q129" s="304">
        <v>1</v>
      </c>
      <c r="R129" s="304">
        <v>1</v>
      </c>
      <c r="S129" s="308">
        <v>0</v>
      </c>
    </row>
    <row r="130" spans="1:19" ht="132">
      <c r="A130" s="303">
        <v>125</v>
      </c>
      <c r="B130" s="304">
        <v>167</v>
      </c>
      <c r="C130" s="305" t="s">
        <v>215</v>
      </c>
      <c r="D130" s="306" t="s">
        <v>216</v>
      </c>
      <c r="E130" s="305" t="s">
        <v>768</v>
      </c>
      <c r="F130" s="306" t="s">
        <v>76</v>
      </c>
      <c r="G130" s="306" t="s">
        <v>1264</v>
      </c>
      <c r="H130" s="306" t="s">
        <v>1367</v>
      </c>
      <c r="I130" s="306" t="s">
        <v>1367</v>
      </c>
      <c r="J130" s="304" t="s">
        <v>87</v>
      </c>
      <c r="K130" s="307">
        <v>43466</v>
      </c>
      <c r="L130" s="309">
        <v>44561</v>
      </c>
      <c r="M130" s="306" t="s">
        <v>89</v>
      </c>
      <c r="N130" s="304" t="s">
        <v>90</v>
      </c>
      <c r="O130" s="306" t="s">
        <v>71</v>
      </c>
      <c r="P130" s="304">
        <v>1</v>
      </c>
      <c r="Q130" s="304">
        <v>1</v>
      </c>
      <c r="R130" s="304">
        <v>1</v>
      </c>
      <c r="S130" s="308">
        <v>0</v>
      </c>
    </row>
    <row r="131" spans="1:19" ht="132">
      <c r="A131" s="303">
        <v>126</v>
      </c>
      <c r="B131" s="304">
        <v>168</v>
      </c>
      <c r="C131" s="305" t="s">
        <v>215</v>
      </c>
      <c r="D131" s="306" t="s">
        <v>216</v>
      </c>
      <c r="E131" s="305" t="s">
        <v>768</v>
      </c>
      <c r="F131" s="306" t="s">
        <v>76</v>
      </c>
      <c r="G131" s="306" t="s">
        <v>1264</v>
      </c>
      <c r="H131" s="306" t="s">
        <v>1372</v>
      </c>
      <c r="I131" s="306" t="s">
        <v>1373</v>
      </c>
      <c r="J131" s="304" t="s">
        <v>87</v>
      </c>
      <c r="K131" s="307">
        <v>43466</v>
      </c>
      <c r="L131" s="307">
        <v>44012</v>
      </c>
      <c r="M131" s="306" t="s">
        <v>209</v>
      </c>
      <c r="N131" s="304" t="s">
        <v>90</v>
      </c>
      <c r="O131" s="306" t="s">
        <v>67</v>
      </c>
      <c r="P131" s="304">
        <v>1</v>
      </c>
      <c r="Q131" s="304">
        <v>1</v>
      </c>
      <c r="R131" s="304">
        <v>1</v>
      </c>
      <c r="S131" s="308">
        <v>0</v>
      </c>
    </row>
    <row r="132" spans="1:19" ht="108">
      <c r="A132" s="303">
        <v>127</v>
      </c>
      <c r="B132" s="304">
        <v>169</v>
      </c>
      <c r="C132" s="305" t="s">
        <v>215</v>
      </c>
      <c r="D132" s="306" t="s">
        <v>216</v>
      </c>
      <c r="E132" s="305" t="s">
        <v>768</v>
      </c>
      <c r="F132" s="306" t="s">
        <v>76</v>
      </c>
      <c r="G132" s="306" t="s">
        <v>1264</v>
      </c>
      <c r="H132" s="306" t="s">
        <v>1381</v>
      </c>
      <c r="I132" s="306" t="s">
        <v>1382</v>
      </c>
      <c r="J132" s="304" t="s">
        <v>87</v>
      </c>
      <c r="K132" s="307">
        <v>43466</v>
      </c>
      <c r="L132" s="307">
        <v>44012</v>
      </c>
      <c r="M132" s="306" t="s">
        <v>221</v>
      </c>
      <c r="N132" s="304" t="s">
        <v>90</v>
      </c>
      <c r="O132" s="306" t="s">
        <v>71</v>
      </c>
      <c r="P132" s="304">
        <v>1</v>
      </c>
      <c r="Q132" s="304">
        <v>1</v>
      </c>
      <c r="R132" s="304">
        <v>1</v>
      </c>
      <c r="S132" s="308">
        <v>0</v>
      </c>
    </row>
    <row r="133" spans="1:19" ht="192">
      <c r="A133" s="303">
        <v>128</v>
      </c>
      <c r="B133" s="304">
        <v>170</v>
      </c>
      <c r="C133" s="305" t="s">
        <v>215</v>
      </c>
      <c r="D133" s="306" t="s">
        <v>216</v>
      </c>
      <c r="E133" s="305" t="s">
        <v>768</v>
      </c>
      <c r="F133" s="306" t="s">
        <v>76</v>
      </c>
      <c r="G133" s="306" t="s">
        <v>1264</v>
      </c>
      <c r="H133" s="306" t="s">
        <v>1384</v>
      </c>
      <c r="I133" s="306" t="s">
        <v>1385</v>
      </c>
      <c r="J133" s="304" t="s">
        <v>87</v>
      </c>
      <c r="K133" s="307">
        <v>43466</v>
      </c>
      <c r="L133" s="309">
        <v>44196</v>
      </c>
      <c r="M133" s="306" t="s">
        <v>221</v>
      </c>
      <c r="N133" s="304" t="s">
        <v>90</v>
      </c>
      <c r="O133" s="306" t="s">
        <v>71</v>
      </c>
      <c r="P133" s="304">
        <v>1</v>
      </c>
      <c r="Q133" s="304">
        <v>1</v>
      </c>
      <c r="R133" s="304">
        <v>1</v>
      </c>
      <c r="S133" s="308">
        <v>0</v>
      </c>
    </row>
    <row r="134" spans="1:19" ht="120">
      <c r="A134" s="303">
        <v>129</v>
      </c>
      <c r="B134" s="304">
        <v>171</v>
      </c>
      <c r="C134" s="305" t="s">
        <v>215</v>
      </c>
      <c r="D134" s="306" t="s">
        <v>216</v>
      </c>
      <c r="E134" s="305" t="s">
        <v>768</v>
      </c>
      <c r="F134" s="306" t="s">
        <v>76</v>
      </c>
      <c r="G134" s="306" t="s">
        <v>1264</v>
      </c>
      <c r="H134" s="306" t="s">
        <v>1390</v>
      </c>
      <c r="I134" s="306" t="s">
        <v>1390</v>
      </c>
      <c r="J134" s="304" t="s">
        <v>87</v>
      </c>
      <c r="K134" s="307">
        <v>43466</v>
      </c>
      <c r="L134" s="309">
        <v>44561</v>
      </c>
      <c r="M134" s="306" t="s">
        <v>209</v>
      </c>
      <c r="N134" s="304" t="s">
        <v>90</v>
      </c>
      <c r="O134" s="306" t="s">
        <v>67</v>
      </c>
      <c r="P134" s="304">
        <v>1</v>
      </c>
      <c r="Q134" s="304">
        <v>1</v>
      </c>
      <c r="R134" s="304">
        <v>1</v>
      </c>
      <c r="S134" s="308">
        <v>0</v>
      </c>
    </row>
    <row r="135" spans="1:19" ht="120">
      <c r="A135" s="303">
        <v>130</v>
      </c>
      <c r="B135" s="304">
        <v>172</v>
      </c>
      <c r="C135" s="305" t="s">
        <v>215</v>
      </c>
      <c r="D135" s="306" t="s">
        <v>216</v>
      </c>
      <c r="E135" s="305" t="s">
        <v>768</v>
      </c>
      <c r="F135" s="306" t="s">
        <v>76</v>
      </c>
      <c r="G135" s="306" t="s">
        <v>1264</v>
      </c>
      <c r="H135" s="306" t="s">
        <v>1394</v>
      </c>
      <c r="I135" s="306" t="s">
        <v>1394</v>
      </c>
      <c r="J135" s="304" t="s">
        <v>87</v>
      </c>
      <c r="K135" s="307">
        <v>43466</v>
      </c>
      <c r="L135" s="309">
        <v>44561</v>
      </c>
      <c r="M135" s="306" t="s">
        <v>221</v>
      </c>
      <c r="N135" s="304" t="s">
        <v>90</v>
      </c>
      <c r="O135" s="306" t="s">
        <v>71</v>
      </c>
      <c r="P135" s="304">
        <v>1</v>
      </c>
      <c r="Q135" s="304">
        <v>1</v>
      </c>
      <c r="R135" s="304">
        <v>1</v>
      </c>
      <c r="S135" s="308">
        <v>0</v>
      </c>
    </row>
    <row r="136" spans="1:19" ht="108">
      <c r="A136" s="303">
        <v>131</v>
      </c>
      <c r="B136" s="304">
        <v>173</v>
      </c>
      <c r="C136" s="305" t="s">
        <v>215</v>
      </c>
      <c r="D136" s="306" t="s">
        <v>216</v>
      </c>
      <c r="E136" s="305" t="s">
        <v>768</v>
      </c>
      <c r="F136" s="306" t="s">
        <v>76</v>
      </c>
      <c r="G136" s="306" t="s">
        <v>1264</v>
      </c>
      <c r="H136" s="306" t="s">
        <v>1407</v>
      </c>
      <c r="I136" s="306" t="s">
        <v>1408</v>
      </c>
      <c r="J136" s="304" t="s">
        <v>87</v>
      </c>
      <c r="K136" s="307">
        <v>43466</v>
      </c>
      <c r="L136" s="309">
        <v>44561</v>
      </c>
      <c r="M136" s="306" t="s">
        <v>89</v>
      </c>
      <c r="N136" s="304" t="s">
        <v>90</v>
      </c>
      <c r="O136" s="306" t="s">
        <v>71</v>
      </c>
      <c r="P136" s="304">
        <v>1</v>
      </c>
      <c r="Q136" s="304">
        <v>1</v>
      </c>
      <c r="R136" s="304">
        <v>1</v>
      </c>
      <c r="S136" s="308">
        <v>0</v>
      </c>
    </row>
    <row r="137" spans="1:19" ht="108">
      <c r="A137" s="303">
        <v>132</v>
      </c>
      <c r="B137" s="304">
        <v>174</v>
      </c>
      <c r="C137" s="305" t="s">
        <v>215</v>
      </c>
      <c r="D137" s="306" t="s">
        <v>216</v>
      </c>
      <c r="E137" s="305" t="s">
        <v>768</v>
      </c>
      <c r="F137" s="306" t="s">
        <v>76</v>
      </c>
      <c r="G137" s="306" t="s">
        <v>1264</v>
      </c>
      <c r="H137" s="306" t="s">
        <v>1417</v>
      </c>
      <c r="I137" s="306" t="s">
        <v>1417</v>
      </c>
      <c r="J137" s="304" t="s">
        <v>87</v>
      </c>
      <c r="K137" s="307">
        <v>43466</v>
      </c>
      <c r="L137" s="309">
        <v>44500</v>
      </c>
      <c r="M137" s="306" t="s">
        <v>89</v>
      </c>
      <c r="N137" s="304" t="s">
        <v>90</v>
      </c>
      <c r="O137" s="306" t="s">
        <v>71</v>
      </c>
      <c r="P137" s="304">
        <v>1</v>
      </c>
      <c r="Q137" s="304">
        <v>1</v>
      </c>
      <c r="R137" s="304">
        <v>1</v>
      </c>
      <c r="S137" s="308">
        <v>0</v>
      </c>
    </row>
    <row r="138" spans="1:19" ht="120">
      <c r="A138" s="303">
        <v>133</v>
      </c>
      <c r="B138" s="304">
        <v>175</v>
      </c>
      <c r="C138" s="305" t="s">
        <v>215</v>
      </c>
      <c r="D138" s="306" t="s">
        <v>216</v>
      </c>
      <c r="E138" s="305" t="s">
        <v>768</v>
      </c>
      <c r="F138" s="306" t="s">
        <v>76</v>
      </c>
      <c r="G138" s="306" t="s">
        <v>1264</v>
      </c>
      <c r="H138" s="306" t="s">
        <v>1423</v>
      </c>
      <c r="I138" s="306" t="s">
        <v>1423</v>
      </c>
      <c r="J138" s="304" t="s">
        <v>87</v>
      </c>
      <c r="K138" s="307">
        <v>43466</v>
      </c>
      <c r="L138" s="309">
        <v>44561</v>
      </c>
      <c r="M138" s="306" t="s">
        <v>89</v>
      </c>
      <c r="N138" s="304" t="s">
        <v>90</v>
      </c>
      <c r="O138" s="306" t="s">
        <v>67</v>
      </c>
      <c r="P138" s="304">
        <v>1</v>
      </c>
      <c r="Q138" s="304">
        <v>1</v>
      </c>
      <c r="R138" s="304">
        <v>1</v>
      </c>
      <c r="S138" s="308">
        <v>0</v>
      </c>
    </row>
    <row r="139" spans="1:19" ht="180">
      <c r="A139" s="303">
        <v>134</v>
      </c>
      <c r="B139" s="304">
        <v>176</v>
      </c>
      <c r="C139" s="305" t="s">
        <v>215</v>
      </c>
      <c r="D139" s="306" t="s">
        <v>216</v>
      </c>
      <c r="E139" s="305" t="s">
        <v>768</v>
      </c>
      <c r="F139" s="306" t="s">
        <v>76</v>
      </c>
      <c r="G139" s="306" t="s">
        <v>1264</v>
      </c>
      <c r="H139" s="306" t="s">
        <v>1431</v>
      </c>
      <c r="I139" s="306" t="s">
        <v>1432</v>
      </c>
      <c r="J139" s="304" t="s">
        <v>87</v>
      </c>
      <c r="K139" s="307">
        <v>43466</v>
      </c>
      <c r="L139" s="309">
        <v>43830</v>
      </c>
      <c r="M139" s="306" t="s">
        <v>89</v>
      </c>
      <c r="N139" s="304" t="s">
        <v>90</v>
      </c>
      <c r="O139" s="306" t="s">
        <v>55</v>
      </c>
      <c r="P139" s="304">
        <v>1</v>
      </c>
      <c r="Q139" s="304">
        <v>1</v>
      </c>
      <c r="R139" s="304">
        <v>1</v>
      </c>
      <c r="S139" s="308">
        <v>0</v>
      </c>
    </row>
    <row r="140" spans="1:19" ht="108">
      <c r="A140" s="303">
        <v>135</v>
      </c>
      <c r="B140" s="304">
        <v>177</v>
      </c>
      <c r="C140" s="305" t="s">
        <v>215</v>
      </c>
      <c r="D140" s="306" t="s">
        <v>216</v>
      </c>
      <c r="E140" s="305" t="s">
        <v>768</v>
      </c>
      <c r="F140" s="306" t="s">
        <v>76</v>
      </c>
      <c r="G140" s="306" t="s">
        <v>1264</v>
      </c>
      <c r="H140" s="306" t="s">
        <v>1441</v>
      </c>
      <c r="I140" s="306" t="s">
        <v>1442</v>
      </c>
      <c r="J140" s="304" t="s">
        <v>87</v>
      </c>
      <c r="K140" s="307">
        <v>43466</v>
      </c>
      <c r="L140" s="307">
        <v>43555</v>
      </c>
      <c r="M140" s="306" t="s">
        <v>89</v>
      </c>
      <c r="N140" s="304" t="s">
        <v>90</v>
      </c>
      <c r="O140" s="306" t="s">
        <v>71</v>
      </c>
      <c r="P140" s="304">
        <v>1</v>
      </c>
      <c r="Q140" s="304">
        <v>1</v>
      </c>
      <c r="R140" s="304">
        <v>1</v>
      </c>
      <c r="S140" s="308">
        <v>0</v>
      </c>
    </row>
    <row r="141" spans="1:19" ht="156">
      <c r="A141" s="303">
        <v>136</v>
      </c>
      <c r="B141" s="304">
        <v>178</v>
      </c>
      <c r="C141" s="305" t="s">
        <v>215</v>
      </c>
      <c r="D141" s="306" t="s">
        <v>216</v>
      </c>
      <c r="E141" s="305" t="s">
        <v>768</v>
      </c>
      <c r="F141" s="306" t="s">
        <v>76</v>
      </c>
      <c r="G141" s="306" t="s">
        <v>1264</v>
      </c>
      <c r="H141" s="306" t="s">
        <v>1453</v>
      </c>
      <c r="I141" s="306" t="s">
        <v>1453</v>
      </c>
      <c r="J141" s="304" t="s">
        <v>87</v>
      </c>
      <c r="K141" s="307">
        <v>43466</v>
      </c>
      <c r="L141" s="307">
        <v>43646</v>
      </c>
      <c r="M141" s="306" t="s">
        <v>221</v>
      </c>
      <c r="N141" s="304" t="s">
        <v>90</v>
      </c>
      <c r="O141" s="306" t="s">
        <v>55</v>
      </c>
      <c r="P141" s="304">
        <v>1</v>
      </c>
      <c r="Q141" s="304">
        <v>1</v>
      </c>
      <c r="R141" s="304">
        <v>1</v>
      </c>
      <c r="S141" s="308">
        <v>0</v>
      </c>
    </row>
    <row r="142" spans="1:19" ht="108">
      <c r="A142" s="303">
        <v>137</v>
      </c>
      <c r="B142" s="304">
        <v>179</v>
      </c>
      <c r="C142" s="305" t="s">
        <v>215</v>
      </c>
      <c r="D142" s="306" t="s">
        <v>216</v>
      </c>
      <c r="E142" s="305" t="s">
        <v>768</v>
      </c>
      <c r="F142" s="306" t="s">
        <v>76</v>
      </c>
      <c r="G142" s="306" t="s">
        <v>1264</v>
      </c>
      <c r="H142" s="306" t="s">
        <v>1462</v>
      </c>
      <c r="I142" s="306" t="s">
        <v>1462</v>
      </c>
      <c r="J142" s="304" t="s">
        <v>87</v>
      </c>
      <c r="K142" s="307">
        <v>43466</v>
      </c>
      <c r="L142" s="309">
        <v>43769</v>
      </c>
      <c r="M142" s="306" t="s">
        <v>89</v>
      </c>
      <c r="N142" s="304" t="s">
        <v>90</v>
      </c>
      <c r="O142" s="306" t="s">
        <v>55</v>
      </c>
      <c r="P142" s="304">
        <v>1</v>
      </c>
      <c r="Q142" s="304">
        <v>1</v>
      </c>
      <c r="R142" s="304">
        <v>1</v>
      </c>
      <c r="S142" s="308">
        <v>0</v>
      </c>
    </row>
    <row r="143" spans="1:19" ht="156">
      <c r="A143" s="303">
        <v>138</v>
      </c>
      <c r="B143" s="304">
        <v>180</v>
      </c>
      <c r="C143" s="305" t="s">
        <v>215</v>
      </c>
      <c r="D143" s="306" t="s">
        <v>216</v>
      </c>
      <c r="E143" s="305" t="s">
        <v>768</v>
      </c>
      <c r="F143" s="306" t="s">
        <v>76</v>
      </c>
      <c r="G143" s="306" t="s">
        <v>1264</v>
      </c>
      <c r="H143" s="306" t="s">
        <v>1466</v>
      </c>
      <c r="I143" s="306" t="s">
        <v>1467</v>
      </c>
      <c r="J143" s="304" t="s">
        <v>87</v>
      </c>
      <c r="K143" s="307">
        <v>43466</v>
      </c>
      <c r="L143" s="307">
        <v>44074</v>
      </c>
      <c r="M143" s="306" t="s">
        <v>89</v>
      </c>
      <c r="N143" s="304" t="s">
        <v>90</v>
      </c>
      <c r="O143" s="306" t="s">
        <v>71</v>
      </c>
      <c r="P143" s="304">
        <v>1</v>
      </c>
      <c r="Q143" s="304">
        <v>1</v>
      </c>
      <c r="R143" s="304">
        <v>1</v>
      </c>
      <c r="S143" s="308">
        <v>0</v>
      </c>
    </row>
    <row r="144" spans="1:19" ht="108">
      <c r="A144" s="303">
        <v>139</v>
      </c>
      <c r="B144" s="304">
        <v>181</v>
      </c>
      <c r="C144" s="305" t="s">
        <v>215</v>
      </c>
      <c r="D144" s="306" t="s">
        <v>216</v>
      </c>
      <c r="E144" s="305" t="s">
        <v>768</v>
      </c>
      <c r="F144" s="306" t="s">
        <v>76</v>
      </c>
      <c r="G144" s="306" t="s">
        <v>1264</v>
      </c>
      <c r="H144" s="306" t="s">
        <v>1472</v>
      </c>
      <c r="I144" s="306" t="s">
        <v>1472</v>
      </c>
      <c r="J144" s="304" t="s">
        <v>87</v>
      </c>
      <c r="K144" s="307">
        <v>43466</v>
      </c>
      <c r="L144" s="309">
        <v>44561</v>
      </c>
      <c r="M144" s="306" t="s">
        <v>89</v>
      </c>
      <c r="N144" s="304" t="s">
        <v>90</v>
      </c>
      <c r="O144" s="306" t="s">
        <v>71</v>
      </c>
      <c r="P144" s="304">
        <v>1</v>
      </c>
      <c r="Q144" s="304">
        <v>1</v>
      </c>
      <c r="R144" s="304">
        <v>1</v>
      </c>
      <c r="S144" s="308">
        <v>0</v>
      </c>
    </row>
    <row r="145" spans="1:19" ht="108">
      <c r="A145" s="303">
        <v>140</v>
      </c>
      <c r="B145" s="304">
        <v>182</v>
      </c>
      <c r="C145" s="305" t="s">
        <v>215</v>
      </c>
      <c r="D145" s="306" t="s">
        <v>216</v>
      </c>
      <c r="E145" s="305" t="s">
        <v>768</v>
      </c>
      <c r="F145" s="306" t="s">
        <v>76</v>
      </c>
      <c r="G145" s="306" t="s">
        <v>1264</v>
      </c>
      <c r="H145" s="306" t="s">
        <v>1482</v>
      </c>
      <c r="I145" s="306" t="s">
        <v>1482</v>
      </c>
      <c r="J145" s="304" t="s">
        <v>87</v>
      </c>
      <c r="K145" s="307">
        <v>43466</v>
      </c>
      <c r="L145" s="309">
        <v>44561</v>
      </c>
      <c r="M145" s="306" t="s">
        <v>1483</v>
      </c>
      <c r="N145" s="304" t="s">
        <v>90</v>
      </c>
      <c r="O145" s="306" t="s">
        <v>71</v>
      </c>
      <c r="P145" s="304">
        <v>1</v>
      </c>
      <c r="Q145" s="304">
        <v>1</v>
      </c>
      <c r="R145" s="304">
        <v>1</v>
      </c>
      <c r="S145" s="308">
        <v>0</v>
      </c>
    </row>
    <row r="146" spans="1:19" ht="108">
      <c r="A146" s="303">
        <v>141</v>
      </c>
      <c r="B146" s="304">
        <v>183</v>
      </c>
      <c r="C146" s="305" t="s">
        <v>215</v>
      </c>
      <c r="D146" s="306" t="s">
        <v>216</v>
      </c>
      <c r="E146" s="305" t="s">
        <v>768</v>
      </c>
      <c r="F146" s="306" t="s">
        <v>76</v>
      </c>
      <c r="G146" s="306" t="s">
        <v>1264</v>
      </c>
      <c r="H146" s="306" t="s">
        <v>1490</v>
      </c>
      <c r="I146" s="306" t="s">
        <v>1491</v>
      </c>
      <c r="J146" s="304" t="s">
        <v>87</v>
      </c>
      <c r="K146" s="307">
        <v>43466</v>
      </c>
      <c r="L146" s="309">
        <v>45657</v>
      </c>
      <c r="M146" s="306" t="s">
        <v>1492</v>
      </c>
      <c r="N146" s="304" t="s">
        <v>90</v>
      </c>
      <c r="O146" s="306" t="s">
        <v>71</v>
      </c>
      <c r="P146" s="304">
        <v>1</v>
      </c>
      <c r="Q146" s="304">
        <v>1</v>
      </c>
      <c r="R146" s="304">
        <v>1</v>
      </c>
      <c r="S146" s="308">
        <v>0</v>
      </c>
    </row>
    <row r="147" spans="1:19" ht="108">
      <c r="A147" s="303">
        <v>142</v>
      </c>
      <c r="B147" s="304">
        <v>184</v>
      </c>
      <c r="C147" s="305" t="s">
        <v>215</v>
      </c>
      <c r="D147" s="306" t="s">
        <v>216</v>
      </c>
      <c r="E147" s="305" t="s">
        <v>768</v>
      </c>
      <c r="F147" s="306" t="s">
        <v>76</v>
      </c>
      <c r="G147" s="306" t="s">
        <v>1264</v>
      </c>
      <c r="H147" s="306" t="s">
        <v>1499</v>
      </c>
      <c r="I147" s="306" t="s">
        <v>1500</v>
      </c>
      <c r="J147" s="304" t="s">
        <v>87</v>
      </c>
      <c r="K147" s="307">
        <v>43466</v>
      </c>
      <c r="L147" s="309">
        <v>44561</v>
      </c>
      <c r="M147" s="306" t="s">
        <v>89</v>
      </c>
      <c r="N147" s="304" t="s">
        <v>90</v>
      </c>
      <c r="O147" s="306" t="s">
        <v>71</v>
      </c>
      <c r="P147" s="304">
        <v>1</v>
      </c>
      <c r="Q147" s="304">
        <v>1</v>
      </c>
      <c r="R147" s="304">
        <v>1</v>
      </c>
      <c r="S147" s="308">
        <v>0</v>
      </c>
    </row>
    <row r="148" spans="1:19" ht="108">
      <c r="A148" s="303">
        <v>143</v>
      </c>
      <c r="B148" s="304">
        <v>185</v>
      </c>
      <c r="C148" s="305" t="s">
        <v>215</v>
      </c>
      <c r="D148" s="306" t="s">
        <v>216</v>
      </c>
      <c r="E148" s="305" t="s">
        <v>768</v>
      </c>
      <c r="F148" s="306" t="s">
        <v>76</v>
      </c>
      <c r="G148" s="306" t="s">
        <v>1264</v>
      </c>
      <c r="H148" s="306" t="s">
        <v>1507</v>
      </c>
      <c r="I148" s="306" t="s">
        <v>1508</v>
      </c>
      <c r="J148" s="304" t="s">
        <v>87</v>
      </c>
      <c r="K148" s="307">
        <v>43466</v>
      </c>
      <c r="L148" s="309">
        <v>44561</v>
      </c>
      <c r="M148" s="306" t="s">
        <v>89</v>
      </c>
      <c r="N148" s="304" t="s">
        <v>90</v>
      </c>
      <c r="O148" s="306" t="s">
        <v>71</v>
      </c>
      <c r="P148" s="304">
        <v>1</v>
      </c>
      <c r="Q148" s="304">
        <v>1</v>
      </c>
      <c r="R148" s="304">
        <v>1</v>
      </c>
      <c r="S148" s="308">
        <v>0</v>
      </c>
    </row>
    <row r="149" spans="1:19" ht="108">
      <c r="A149" s="303">
        <v>144</v>
      </c>
      <c r="B149" s="304">
        <v>186</v>
      </c>
      <c r="C149" s="305" t="s">
        <v>215</v>
      </c>
      <c r="D149" s="306" t="s">
        <v>216</v>
      </c>
      <c r="E149" s="305" t="s">
        <v>768</v>
      </c>
      <c r="F149" s="306" t="s">
        <v>76</v>
      </c>
      <c r="G149" s="306" t="s">
        <v>1264</v>
      </c>
      <c r="H149" s="306" t="s">
        <v>1513</v>
      </c>
      <c r="I149" s="306" t="s">
        <v>1500</v>
      </c>
      <c r="J149" s="304" t="s">
        <v>87</v>
      </c>
      <c r="K149" s="307">
        <v>43466</v>
      </c>
      <c r="L149" s="309">
        <v>44561</v>
      </c>
      <c r="M149" s="306" t="s">
        <v>95</v>
      </c>
      <c r="N149" s="304" t="s">
        <v>90</v>
      </c>
      <c r="O149" s="306" t="s">
        <v>71</v>
      </c>
      <c r="P149" s="304">
        <v>1</v>
      </c>
      <c r="Q149" s="304">
        <v>1</v>
      </c>
      <c r="R149" s="304">
        <v>1</v>
      </c>
      <c r="S149" s="308">
        <v>0</v>
      </c>
    </row>
    <row r="150" spans="1:19" ht="108">
      <c r="A150" s="303">
        <v>145</v>
      </c>
      <c r="B150" s="304">
        <v>187</v>
      </c>
      <c r="C150" s="305" t="s">
        <v>215</v>
      </c>
      <c r="D150" s="306" t="s">
        <v>216</v>
      </c>
      <c r="E150" s="305" t="s">
        <v>768</v>
      </c>
      <c r="F150" s="306" t="s">
        <v>76</v>
      </c>
      <c r="G150" s="306" t="s">
        <v>1264</v>
      </c>
      <c r="H150" s="306" t="s">
        <v>1520</v>
      </c>
      <c r="I150" s="306" t="s">
        <v>1520</v>
      </c>
      <c r="J150" s="304" t="s">
        <v>87</v>
      </c>
      <c r="K150" s="307">
        <v>43466</v>
      </c>
      <c r="L150" s="309">
        <v>44561</v>
      </c>
      <c r="M150" s="306" t="s">
        <v>1483</v>
      </c>
      <c r="N150" s="304" t="s">
        <v>90</v>
      </c>
      <c r="O150" s="306" t="s">
        <v>71</v>
      </c>
      <c r="P150" s="304">
        <v>1</v>
      </c>
      <c r="Q150" s="304">
        <v>1</v>
      </c>
      <c r="R150" s="304">
        <v>1</v>
      </c>
      <c r="S150" s="308">
        <v>0</v>
      </c>
    </row>
    <row r="151" spans="1:19" ht="132">
      <c r="A151" s="303">
        <v>146</v>
      </c>
      <c r="B151" s="304">
        <v>188</v>
      </c>
      <c r="C151" s="305" t="s">
        <v>215</v>
      </c>
      <c r="D151" s="306" t="s">
        <v>216</v>
      </c>
      <c r="E151" s="305" t="s">
        <v>768</v>
      </c>
      <c r="F151" s="306" t="s">
        <v>76</v>
      </c>
      <c r="G151" s="306" t="s">
        <v>1264</v>
      </c>
      <c r="H151" s="306" t="s">
        <v>1528</v>
      </c>
      <c r="I151" s="306" t="s">
        <v>1529</v>
      </c>
      <c r="J151" s="304" t="s">
        <v>87</v>
      </c>
      <c r="K151" s="307">
        <v>43466</v>
      </c>
      <c r="L151" s="309">
        <v>44561</v>
      </c>
      <c r="M151" s="306" t="s">
        <v>344</v>
      </c>
      <c r="N151" s="304" t="s">
        <v>96</v>
      </c>
      <c r="O151" s="306" t="s">
        <v>71</v>
      </c>
      <c r="P151" s="304">
        <v>1</v>
      </c>
      <c r="Q151" s="304">
        <v>1</v>
      </c>
      <c r="R151" s="304">
        <v>1</v>
      </c>
      <c r="S151" s="308">
        <v>0</v>
      </c>
    </row>
    <row r="152" spans="1:19" ht="108">
      <c r="A152" s="303">
        <v>147</v>
      </c>
      <c r="B152" s="304">
        <v>189</v>
      </c>
      <c r="C152" s="305" t="s">
        <v>215</v>
      </c>
      <c r="D152" s="306" t="s">
        <v>216</v>
      </c>
      <c r="E152" s="305" t="s">
        <v>768</v>
      </c>
      <c r="F152" s="306" t="s">
        <v>76</v>
      </c>
      <c r="G152" s="306" t="s">
        <v>1264</v>
      </c>
      <c r="H152" s="306" t="s">
        <v>1539</v>
      </c>
      <c r="I152" s="306" t="s">
        <v>1540</v>
      </c>
      <c r="J152" s="304" t="s">
        <v>87</v>
      </c>
      <c r="K152" s="307">
        <v>43466</v>
      </c>
      <c r="L152" s="309">
        <v>45657</v>
      </c>
      <c r="M152" s="306" t="s">
        <v>98</v>
      </c>
      <c r="N152" s="304" t="s">
        <v>90</v>
      </c>
      <c r="O152" s="306" t="s">
        <v>71</v>
      </c>
      <c r="P152" s="304">
        <v>1</v>
      </c>
      <c r="Q152" s="304">
        <v>1</v>
      </c>
      <c r="R152" s="304">
        <v>1</v>
      </c>
      <c r="S152" s="308">
        <v>0</v>
      </c>
    </row>
    <row r="153" spans="1:19" ht="120">
      <c r="A153" s="303">
        <v>148</v>
      </c>
      <c r="B153" s="304">
        <v>190</v>
      </c>
      <c r="C153" s="305" t="s">
        <v>215</v>
      </c>
      <c r="D153" s="306" t="s">
        <v>216</v>
      </c>
      <c r="E153" s="305" t="s">
        <v>768</v>
      </c>
      <c r="F153" s="306" t="s">
        <v>76</v>
      </c>
      <c r="G153" s="306" t="s">
        <v>1264</v>
      </c>
      <c r="H153" s="306" t="s">
        <v>1548</v>
      </c>
      <c r="I153" s="306" t="s">
        <v>1549</v>
      </c>
      <c r="J153" s="304" t="s">
        <v>87</v>
      </c>
      <c r="K153" s="307">
        <v>43466</v>
      </c>
      <c r="L153" s="309">
        <v>44561</v>
      </c>
      <c r="M153" s="306" t="s">
        <v>209</v>
      </c>
      <c r="N153" s="304" t="s">
        <v>96</v>
      </c>
      <c r="O153" s="306" t="s">
        <v>67</v>
      </c>
      <c r="P153" s="304">
        <v>1</v>
      </c>
      <c r="Q153" s="304">
        <v>1</v>
      </c>
      <c r="R153" s="304">
        <v>1</v>
      </c>
      <c r="S153" s="308">
        <v>0</v>
      </c>
    </row>
    <row r="154" spans="1:19" ht="132">
      <c r="A154" s="303">
        <v>149</v>
      </c>
      <c r="B154" s="304">
        <v>191</v>
      </c>
      <c r="C154" s="305" t="s">
        <v>215</v>
      </c>
      <c r="D154" s="306" t="s">
        <v>216</v>
      </c>
      <c r="E154" s="305" t="s">
        <v>768</v>
      </c>
      <c r="F154" s="306" t="s">
        <v>76</v>
      </c>
      <c r="G154" s="306" t="s">
        <v>1264</v>
      </c>
      <c r="H154" s="306" t="s">
        <v>1556</v>
      </c>
      <c r="I154" s="306" t="s">
        <v>1557</v>
      </c>
      <c r="J154" s="304" t="s">
        <v>87</v>
      </c>
      <c r="K154" s="307">
        <v>43466</v>
      </c>
      <c r="L154" s="309">
        <v>44561</v>
      </c>
      <c r="M154" s="306" t="s">
        <v>344</v>
      </c>
      <c r="N154" s="304" t="s">
        <v>90</v>
      </c>
      <c r="O154" s="306" t="s">
        <v>71</v>
      </c>
      <c r="P154" s="304">
        <v>1</v>
      </c>
      <c r="Q154" s="304">
        <v>1</v>
      </c>
      <c r="R154" s="304">
        <v>1</v>
      </c>
      <c r="S154" s="308">
        <v>0</v>
      </c>
    </row>
    <row r="155" spans="1:19" ht="108">
      <c r="A155" s="303">
        <v>150</v>
      </c>
      <c r="B155" s="304">
        <v>192</v>
      </c>
      <c r="C155" s="305" t="s">
        <v>215</v>
      </c>
      <c r="D155" s="306" t="s">
        <v>216</v>
      </c>
      <c r="E155" s="305" t="s">
        <v>768</v>
      </c>
      <c r="F155" s="306" t="s">
        <v>76</v>
      </c>
      <c r="G155" s="306" t="s">
        <v>1264</v>
      </c>
      <c r="H155" s="306" t="s">
        <v>1562</v>
      </c>
      <c r="I155" s="306" t="s">
        <v>1563</v>
      </c>
      <c r="J155" s="304" t="s">
        <v>87</v>
      </c>
      <c r="K155" s="307">
        <v>43466</v>
      </c>
      <c r="L155" s="309">
        <v>44561</v>
      </c>
      <c r="M155" s="306" t="s">
        <v>221</v>
      </c>
      <c r="N155" s="304" t="s">
        <v>90</v>
      </c>
      <c r="O155" s="306" t="s">
        <v>71</v>
      </c>
      <c r="P155" s="304">
        <v>1</v>
      </c>
      <c r="Q155" s="304">
        <v>1</v>
      </c>
      <c r="R155" s="304">
        <v>1</v>
      </c>
      <c r="S155" s="308">
        <v>0</v>
      </c>
    </row>
    <row r="156" spans="1:19" ht="108">
      <c r="A156" s="303">
        <v>151</v>
      </c>
      <c r="B156" s="304">
        <v>193</v>
      </c>
      <c r="C156" s="305" t="s">
        <v>215</v>
      </c>
      <c r="D156" s="306" t="s">
        <v>216</v>
      </c>
      <c r="E156" s="305" t="s">
        <v>768</v>
      </c>
      <c r="F156" s="306" t="s">
        <v>76</v>
      </c>
      <c r="G156" s="306" t="s">
        <v>1264</v>
      </c>
      <c r="H156" s="306" t="s">
        <v>1570</v>
      </c>
      <c r="I156" s="306" t="s">
        <v>1571</v>
      </c>
      <c r="J156" s="304" t="s">
        <v>87</v>
      </c>
      <c r="K156" s="307">
        <v>43466</v>
      </c>
      <c r="L156" s="309">
        <v>44561</v>
      </c>
      <c r="M156" s="306" t="s">
        <v>99</v>
      </c>
      <c r="N156" s="304" t="s">
        <v>96</v>
      </c>
      <c r="O156" s="306" t="s">
        <v>71</v>
      </c>
      <c r="P156" s="304">
        <v>1</v>
      </c>
      <c r="Q156" s="304">
        <v>1</v>
      </c>
      <c r="R156" s="304">
        <v>1</v>
      </c>
      <c r="S156" s="308">
        <v>0</v>
      </c>
    </row>
    <row r="157" spans="1:19" ht="108">
      <c r="A157" s="303">
        <v>152</v>
      </c>
      <c r="B157" s="304">
        <v>194</v>
      </c>
      <c r="C157" s="305" t="s">
        <v>215</v>
      </c>
      <c r="D157" s="306" t="s">
        <v>216</v>
      </c>
      <c r="E157" s="305" t="s">
        <v>768</v>
      </c>
      <c r="F157" s="306" t="s">
        <v>76</v>
      </c>
      <c r="G157" s="306" t="s">
        <v>1264</v>
      </c>
      <c r="H157" s="306" t="s">
        <v>1576</v>
      </c>
      <c r="I157" s="306" t="s">
        <v>1576</v>
      </c>
      <c r="J157" s="304" t="s">
        <v>87</v>
      </c>
      <c r="K157" s="307">
        <v>43466</v>
      </c>
      <c r="L157" s="309">
        <v>45657</v>
      </c>
      <c r="M157" s="306" t="s">
        <v>99</v>
      </c>
      <c r="N157" s="304" t="s">
        <v>90</v>
      </c>
      <c r="O157" s="306" t="s">
        <v>55</v>
      </c>
      <c r="P157" s="304">
        <v>1</v>
      </c>
      <c r="Q157" s="304">
        <v>1</v>
      </c>
      <c r="R157" s="304">
        <v>1</v>
      </c>
      <c r="S157" s="308">
        <v>0</v>
      </c>
    </row>
    <row r="158" spans="1:19" ht="108">
      <c r="A158" s="303">
        <v>153</v>
      </c>
      <c r="B158" s="304">
        <v>195</v>
      </c>
      <c r="C158" s="305" t="s">
        <v>215</v>
      </c>
      <c r="D158" s="306" t="s">
        <v>216</v>
      </c>
      <c r="E158" s="305" t="s">
        <v>768</v>
      </c>
      <c r="F158" s="306" t="s">
        <v>76</v>
      </c>
      <c r="G158" s="306" t="s">
        <v>1264</v>
      </c>
      <c r="H158" s="306" t="s">
        <v>1577</v>
      </c>
      <c r="I158" s="306" t="s">
        <v>1578</v>
      </c>
      <c r="J158" s="304" t="s">
        <v>87</v>
      </c>
      <c r="K158" s="307">
        <v>43466</v>
      </c>
      <c r="L158" s="309">
        <v>44561</v>
      </c>
      <c r="M158" s="306" t="s">
        <v>89</v>
      </c>
      <c r="N158" s="304" t="s">
        <v>90</v>
      </c>
      <c r="O158" s="306" t="s">
        <v>71</v>
      </c>
      <c r="P158" s="304">
        <v>1</v>
      </c>
      <c r="Q158" s="304">
        <v>1</v>
      </c>
      <c r="R158" s="304">
        <v>1</v>
      </c>
      <c r="S158" s="308">
        <v>0</v>
      </c>
    </row>
    <row r="159" spans="1:19" ht="108">
      <c r="A159" s="303">
        <v>154</v>
      </c>
      <c r="B159" s="304">
        <v>196</v>
      </c>
      <c r="C159" s="305" t="s">
        <v>215</v>
      </c>
      <c r="D159" s="306" t="s">
        <v>216</v>
      </c>
      <c r="E159" s="305" t="s">
        <v>768</v>
      </c>
      <c r="F159" s="306" t="s">
        <v>76</v>
      </c>
      <c r="G159" s="306" t="s">
        <v>1264</v>
      </c>
      <c r="H159" s="306" t="s">
        <v>1579</v>
      </c>
      <c r="I159" s="306" t="s">
        <v>1580</v>
      </c>
      <c r="J159" s="304" t="s">
        <v>87</v>
      </c>
      <c r="K159" s="307">
        <v>43466</v>
      </c>
      <c r="L159" s="309">
        <v>44561</v>
      </c>
      <c r="M159" s="306" t="s">
        <v>99</v>
      </c>
      <c r="N159" s="304" t="s">
        <v>90</v>
      </c>
      <c r="O159" s="306" t="s">
        <v>55</v>
      </c>
      <c r="P159" s="304">
        <v>1</v>
      </c>
      <c r="Q159" s="304">
        <v>1</v>
      </c>
      <c r="R159" s="304">
        <v>1</v>
      </c>
      <c r="S159" s="308">
        <v>0</v>
      </c>
    </row>
    <row r="160" spans="1:19" ht="108">
      <c r="A160" s="303">
        <v>155</v>
      </c>
      <c r="B160" s="304">
        <v>197</v>
      </c>
      <c r="C160" s="305" t="s">
        <v>215</v>
      </c>
      <c r="D160" s="306" t="s">
        <v>216</v>
      </c>
      <c r="E160" s="305" t="s">
        <v>768</v>
      </c>
      <c r="F160" s="306" t="s">
        <v>76</v>
      </c>
      <c r="G160" s="306" t="s">
        <v>1264</v>
      </c>
      <c r="H160" s="306" t="s">
        <v>1583</v>
      </c>
      <c r="I160" s="306" t="s">
        <v>1584</v>
      </c>
      <c r="J160" s="304" t="s">
        <v>87</v>
      </c>
      <c r="K160" s="307">
        <v>43466</v>
      </c>
      <c r="L160" s="309">
        <v>44561</v>
      </c>
      <c r="M160" s="306" t="s">
        <v>89</v>
      </c>
      <c r="N160" s="304" t="s">
        <v>90</v>
      </c>
      <c r="O160" s="306" t="s">
        <v>71</v>
      </c>
      <c r="P160" s="304">
        <v>1</v>
      </c>
      <c r="Q160" s="304">
        <v>1</v>
      </c>
      <c r="R160" s="304">
        <v>1</v>
      </c>
      <c r="S160" s="308">
        <v>0</v>
      </c>
    </row>
    <row r="161" spans="1:19" ht="108">
      <c r="A161" s="303">
        <v>156</v>
      </c>
      <c r="B161" s="304">
        <v>198</v>
      </c>
      <c r="C161" s="305" t="s">
        <v>215</v>
      </c>
      <c r="D161" s="306" t="s">
        <v>216</v>
      </c>
      <c r="E161" s="305" t="s">
        <v>768</v>
      </c>
      <c r="F161" s="306" t="s">
        <v>76</v>
      </c>
      <c r="G161" s="306" t="s">
        <v>1264</v>
      </c>
      <c r="H161" s="306" t="s">
        <v>1592</v>
      </c>
      <c r="I161" s="306" t="s">
        <v>1593</v>
      </c>
      <c r="J161" s="304" t="s">
        <v>87</v>
      </c>
      <c r="K161" s="307">
        <v>43466</v>
      </c>
      <c r="L161" s="309">
        <v>44561</v>
      </c>
      <c r="M161" s="306" t="s">
        <v>99</v>
      </c>
      <c r="N161" s="304" t="s">
        <v>90</v>
      </c>
      <c r="O161" s="306" t="s">
        <v>71</v>
      </c>
      <c r="P161" s="304">
        <v>1</v>
      </c>
      <c r="Q161" s="304">
        <v>1</v>
      </c>
      <c r="R161" s="304">
        <v>1</v>
      </c>
      <c r="S161" s="308">
        <v>0</v>
      </c>
    </row>
    <row r="162" spans="1:19" ht="108">
      <c r="A162" s="303">
        <v>157</v>
      </c>
      <c r="B162" s="304">
        <v>199</v>
      </c>
      <c r="C162" s="305" t="s">
        <v>215</v>
      </c>
      <c r="D162" s="306" t="s">
        <v>216</v>
      </c>
      <c r="E162" s="305" t="s">
        <v>768</v>
      </c>
      <c r="F162" s="306" t="s">
        <v>76</v>
      </c>
      <c r="G162" s="306" t="s">
        <v>1264</v>
      </c>
      <c r="H162" s="306" t="s">
        <v>1601</v>
      </c>
      <c r="I162" s="306" t="s">
        <v>1601</v>
      </c>
      <c r="J162" s="304" t="s">
        <v>87</v>
      </c>
      <c r="K162" s="307">
        <v>43466</v>
      </c>
      <c r="L162" s="309">
        <v>44561</v>
      </c>
      <c r="M162" s="306" t="s">
        <v>89</v>
      </c>
      <c r="N162" s="304" t="s">
        <v>90</v>
      </c>
      <c r="O162" s="306" t="s">
        <v>71</v>
      </c>
      <c r="P162" s="304">
        <v>1</v>
      </c>
      <c r="Q162" s="304">
        <v>1</v>
      </c>
      <c r="R162" s="304">
        <v>1</v>
      </c>
      <c r="S162" s="308">
        <v>0</v>
      </c>
    </row>
    <row r="163" spans="1:19" ht="120">
      <c r="A163" s="303">
        <v>158</v>
      </c>
      <c r="B163" s="304">
        <v>200</v>
      </c>
      <c r="C163" s="305" t="s">
        <v>215</v>
      </c>
      <c r="D163" s="306" t="s">
        <v>216</v>
      </c>
      <c r="E163" s="305" t="s">
        <v>768</v>
      </c>
      <c r="F163" s="306" t="s">
        <v>76</v>
      </c>
      <c r="G163" s="306" t="s">
        <v>1264</v>
      </c>
      <c r="H163" s="306" t="s">
        <v>1614</v>
      </c>
      <c r="I163" s="306" t="s">
        <v>1615</v>
      </c>
      <c r="J163" s="304" t="s">
        <v>87</v>
      </c>
      <c r="K163" s="307">
        <v>43466</v>
      </c>
      <c r="L163" s="309">
        <v>44561</v>
      </c>
      <c r="M163" s="306" t="s">
        <v>205</v>
      </c>
      <c r="N163" s="304" t="s">
        <v>90</v>
      </c>
      <c r="O163" s="306" t="s">
        <v>55</v>
      </c>
      <c r="P163" s="304">
        <v>1</v>
      </c>
      <c r="Q163" s="304">
        <v>1</v>
      </c>
      <c r="R163" s="304">
        <v>1</v>
      </c>
      <c r="S163" s="308">
        <v>0</v>
      </c>
    </row>
    <row r="164" spans="1:19" ht="108">
      <c r="A164" s="303">
        <v>159</v>
      </c>
      <c r="B164" s="304">
        <v>201</v>
      </c>
      <c r="C164" s="305" t="s">
        <v>215</v>
      </c>
      <c r="D164" s="306" t="s">
        <v>216</v>
      </c>
      <c r="E164" s="305" t="s">
        <v>768</v>
      </c>
      <c r="F164" s="306" t="s">
        <v>76</v>
      </c>
      <c r="G164" s="306" t="s">
        <v>1264</v>
      </c>
      <c r="H164" s="306" t="s">
        <v>1623</v>
      </c>
      <c r="I164" s="306" t="s">
        <v>1624</v>
      </c>
      <c r="J164" s="304" t="s">
        <v>87</v>
      </c>
      <c r="K164" s="307">
        <v>43466</v>
      </c>
      <c r="L164" s="309">
        <v>43829</v>
      </c>
      <c r="M164" s="306" t="s">
        <v>89</v>
      </c>
      <c r="N164" s="304" t="s">
        <v>90</v>
      </c>
      <c r="O164" s="306" t="s">
        <v>71</v>
      </c>
      <c r="P164" s="304">
        <v>1</v>
      </c>
      <c r="Q164" s="304">
        <v>1</v>
      </c>
      <c r="R164" s="304">
        <v>1</v>
      </c>
      <c r="S164" s="308">
        <v>0</v>
      </c>
    </row>
    <row r="165" spans="1:19" ht="108">
      <c r="A165" s="303">
        <v>160</v>
      </c>
      <c r="B165" s="304">
        <v>202</v>
      </c>
      <c r="C165" s="305" t="s">
        <v>215</v>
      </c>
      <c r="D165" s="306" t="s">
        <v>216</v>
      </c>
      <c r="E165" s="305" t="s">
        <v>768</v>
      </c>
      <c r="F165" s="306" t="s">
        <v>76</v>
      </c>
      <c r="G165" s="306" t="s">
        <v>1264</v>
      </c>
      <c r="H165" s="306" t="s">
        <v>1632</v>
      </c>
      <c r="I165" s="306" t="s">
        <v>1633</v>
      </c>
      <c r="J165" s="304" t="s">
        <v>87</v>
      </c>
      <c r="K165" s="307">
        <v>43466</v>
      </c>
      <c r="L165" s="309">
        <v>44561</v>
      </c>
      <c r="M165" s="306" t="s">
        <v>89</v>
      </c>
      <c r="N165" s="304" t="s">
        <v>90</v>
      </c>
      <c r="O165" s="306" t="s">
        <v>71</v>
      </c>
      <c r="P165" s="304">
        <v>1</v>
      </c>
      <c r="Q165" s="304">
        <v>1</v>
      </c>
      <c r="R165" s="304">
        <v>1</v>
      </c>
      <c r="S165" s="308">
        <v>0</v>
      </c>
    </row>
    <row r="166" spans="1:19" ht="192">
      <c r="A166" s="303">
        <v>161</v>
      </c>
      <c r="B166" s="304">
        <v>203</v>
      </c>
      <c r="C166" s="305" t="s">
        <v>215</v>
      </c>
      <c r="D166" s="306" t="s">
        <v>216</v>
      </c>
      <c r="E166" s="305" t="s">
        <v>768</v>
      </c>
      <c r="F166" s="306" t="s">
        <v>76</v>
      </c>
      <c r="G166" s="306" t="s">
        <v>1264</v>
      </c>
      <c r="H166" s="306" t="s">
        <v>1643</v>
      </c>
      <c r="I166" s="306" t="s">
        <v>1644</v>
      </c>
      <c r="J166" s="304" t="s">
        <v>87</v>
      </c>
      <c r="K166" s="307">
        <v>43466</v>
      </c>
      <c r="L166" s="309">
        <v>45657</v>
      </c>
      <c r="M166" s="306" t="s">
        <v>209</v>
      </c>
      <c r="N166" s="304" t="s">
        <v>90</v>
      </c>
      <c r="O166" s="306" t="s">
        <v>67</v>
      </c>
      <c r="P166" s="304">
        <v>1</v>
      </c>
      <c r="Q166" s="304">
        <v>1</v>
      </c>
      <c r="R166" s="304">
        <v>1</v>
      </c>
      <c r="S166" s="308">
        <v>0</v>
      </c>
    </row>
    <row r="167" spans="1:19" ht="108">
      <c r="A167" s="303">
        <v>162</v>
      </c>
      <c r="B167" s="304">
        <v>204</v>
      </c>
      <c r="C167" s="305" t="s">
        <v>215</v>
      </c>
      <c r="D167" s="306" t="s">
        <v>216</v>
      </c>
      <c r="E167" s="305" t="s">
        <v>768</v>
      </c>
      <c r="F167" s="306" t="s">
        <v>76</v>
      </c>
      <c r="G167" s="306" t="s">
        <v>1264</v>
      </c>
      <c r="H167" s="306" t="s">
        <v>1649</v>
      </c>
      <c r="I167" s="306" t="s">
        <v>1650</v>
      </c>
      <c r="J167" s="304" t="s">
        <v>87</v>
      </c>
      <c r="K167" s="307">
        <v>43466</v>
      </c>
      <c r="L167" s="309">
        <v>44561</v>
      </c>
      <c r="M167" s="306" t="s">
        <v>98</v>
      </c>
      <c r="N167" s="304" t="s">
        <v>90</v>
      </c>
      <c r="O167" s="306" t="s">
        <v>71</v>
      </c>
      <c r="P167" s="304">
        <v>1</v>
      </c>
      <c r="Q167" s="304">
        <v>1</v>
      </c>
      <c r="R167" s="304">
        <v>1</v>
      </c>
      <c r="S167" s="308">
        <v>0</v>
      </c>
    </row>
    <row r="168" spans="1:19" ht="120">
      <c r="A168" s="303">
        <v>163</v>
      </c>
      <c r="B168" s="304">
        <v>205</v>
      </c>
      <c r="C168" s="305" t="s">
        <v>215</v>
      </c>
      <c r="D168" s="306" t="s">
        <v>216</v>
      </c>
      <c r="E168" s="305" t="s">
        <v>768</v>
      </c>
      <c r="F168" s="306" t="s">
        <v>76</v>
      </c>
      <c r="G168" s="306" t="s">
        <v>1264</v>
      </c>
      <c r="H168" s="306" t="s">
        <v>1652</v>
      </c>
      <c r="I168" s="306" t="s">
        <v>1653</v>
      </c>
      <c r="J168" s="304" t="s">
        <v>87</v>
      </c>
      <c r="K168" s="307">
        <v>43466</v>
      </c>
      <c r="L168" s="309">
        <v>44196</v>
      </c>
      <c r="M168" s="306" t="s">
        <v>209</v>
      </c>
      <c r="N168" s="304" t="s">
        <v>90</v>
      </c>
      <c r="O168" s="306" t="s">
        <v>67</v>
      </c>
      <c r="P168" s="304">
        <v>1</v>
      </c>
      <c r="Q168" s="304">
        <v>1</v>
      </c>
      <c r="R168" s="304">
        <v>1</v>
      </c>
      <c r="S168" s="308">
        <v>0</v>
      </c>
    </row>
    <row r="169" spans="1:19" ht="306">
      <c r="A169" s="303">
        <v>164</v>
      </c>
      <c r="B169" s="304">
        <v>206</v>
      </c>
      <c r="C169" s="305" t="s">
        <v>215</v>
      </c>
      <c r="D169" s="306" t="s">
        <v>216</v>
      </c>
      <c r="E169" s="305" t="s">
        <v>768</v>
      </c>
      <c r="F169" s="306" t="s">
        <v>76</v>
      </c>
      <c r="G169" s="306" t="s">
        <v>1264</v>
      </c>
      <c r="H169" s="306" t="s">
        <v>1656</v>
      </c>
      <c r="I169" s="306" t="s">
        <v>1657</v>
      </c>
      <c r="J169" s="304" t="s">
        <v>97</v>
      </c>
      <c r="K169" s="307">
        <v>43466</v>
      </c>
      <c r="L169" s="309">
        <v>45657</v>
      </c>
      <c r="M169" s="306" t="s">
        <v>209</v>
      </c>
      <c r="N169" s="304" t="s">
        <v>90</v>
      </c>
      <c r="O169" s="306" t="s">
        <v>67</v>
      </c>
      <c r="P169" s="304">
        <v>1</v>
      </c>
      <c r="Q169" s="304">
        <v>1</v>
      </c>
      <c r="R169" s="304">
        <v>1</v>
      </c>
      <c r="S169" s="308">
        <v>0</v>
      </c>
    </row>
    <row r="170" spans="1:19" ht="180">
      <c r="A170" s="303">
        <v>165</v>
      </c>
      <c r="B170" s="304">
        <v>207</v>
      </c>
      <c r="C170" s="305" t="s">
        <v>215</v>
      </c>
      <c r="D170" s="306" t="s">
        <v>216</v>
      </c>
      <c r="E170" s="305" t="s">
        <v>768</v>
      </c>
      <c r="F170" s="306" t="s">
        <v>76</v>
      </c>
      <c r="G170" s="306" t="s">
        <v>1264</v>
      </c>
      <c r="H170" s="306" t="s">
        <v>1662</v>
      </c>
      <c r="I170" s="306" t="s">
        <v>1663</v>
      </c>
      <c r="J170" s="304" t="s">
        <v>87</v>
      </c>
      <c r="K170" s="307">
        <v>43466</v>
      </c>
      <c r="L170" s="309">
        <v>44561</v>
      </c>
      <c r="M170" s="306" t="s">
        <v>209</v>
      </c>
      <c r="N170" s="304" t="s">
        <v>90</v>
      </c>
      <c r="O170" s="306" t="s">
        <v>71</v>
      </c>
      <c r="P170" s="304">
        <v>1</v>
      </c>
      <c r="Q170" s="304">
        <v>1</v>
      </c>
      <c r="R170" s="304">
        <v>1</v>
      </c>
      <c r="S170" s="308">
        <v>0</v>
      </c>
    </row>
    <row r="171" spans="1:19" ht="168">
      <c r="A171" s="303">
        <v>166</v>
      </c>
      <c r="B171" s="304">
        <v>208</v>
      </c>
      <c r="C171" s="305" t="s">
        <v>215</v>
      </c>
      <c r="D171" s="306" t="s">
        <v>216</v>
      </c>
      <c r="E171" s="305" t="s">
        <v>768</v>
      </c>
      <c r="F171" s="306" t="s">
        <v>76</v>
      </c>
      <c r="G171" s="306" t="s">
        <v>1264</v>
      </c>
      <c r="H171" s="306" t="s">
        <v>1666</v>
      </c>
      <c r="I171" s="306" t="s">
        <v>1668</v>
      </c>
      <c r="J171" s="304" t="s">
        <v>87</v>
      </c>
      <c r="K171" s="307">
        <v>43466</v>
      </c>
      <c r="L171" s="309">
        <v>45657</v>
      </c>
      <c r="M171" s="306" t="s">
        <v>205</v>
      </c>
      <c r="N171" s="304" t="s">
        <v>90</v>
      </c>
      <c r="O171" s="306" t="s">
        <v>55</v>
      </c>
      <c r="P171" s="304">
        <v>1</v>
      </c>
      <c r="Q171" s="304">
        <v>1</v>
      </c>
      <c r="R171" s="304">
        <v>1</v>
      </c>
      <c r="S171" s="308">
        <v>0</v>
      </c>
    </row>
    <row r="172" spans="1:19" ht="180">
      <c r="A172" s="303">
        <v>167</v>
      </c>
      <c r="B172" s="304">
        <v>209</v>
      </c>
      <c r="C172" s="305" t="s">
        <v>215</v>
      </c>
      <c r="D172" s="306" t="s">
        <v>216</v>
      </c>
      <c r="E172" s="305" t="s">
        <v>770</v>
      </c>
      <c r="F172" s="306" t="s">
        <v>43</v>
      </c>
      <c r="G172" s="306" t="s">
        <v>1674</v>
      </c>
      <c r="H172" s="306" t="s">
        <v>1675</v>
      </c>
      <c r="I172" s="306" t="s">
        <v>1676</v>
      </c>
      <c r="J172" s="304" t="s">
        <v>87</v>
      </c>
      <c r="K172" s="307">
        <v>43405</v>
      </c>
      <c r="L172" s="307">
        <v>43646</v>
      </c>
      <c r="M172" s="306" t="s">
        <v>221</v>
      </c>
      <c r="N172" s="304" t="s">
        <v>90</v>
      </c>
      <c r="O172" s="306" t="s">
        <v>57</v>
      </c>
      <c r="P172" s="304">
        <v>1</v>
      </c>
      <c r="Q172" s="304">
        <v>1</v>
      </c>
      <c r="R172" s="304">
        <v>1</v>
      </c>
      <c r="S172" s="308">
        <v>0</v>
      </c>
    </row>
    <row r="173" spans="1:19" ht="180">
      <c r="A173" s="303">
        <v>168</v>
      </c>
      <c r="B173" s="304">
        <v>210</v>
      </c>
      <c r="C173" s="305" t="s">
        <v>215</v>
      </c>
      <c r="D173" s="306" t="s">
        <v>216</v>
      </c>
      <c r="E173" s="305" t="s">
        <v>770</v>
      </c>
      <c r="F173" s="306" t="s">
        <v>43</v>
      </c>
      <c r="G173" s="306" t="s">
        <v>1674</v>
      </c>
      <c r="H173" s="306" t="s">
        <v>1683</v>
      </c>
      <c r="I173" s="306" t="s">
        <v>1684</v>
      </c>
      <c r="J173" s="304" t="s">
        <v>87</v>
      </c>
      <c r="K173" s="307">
        <v>43405</v>
      </c>
      <c r="L173" s="307">
        <v>44104</v>
      </c>
      <c r="M173" s="306" t="s">
        <v>89</v>
      </c>
      <c r="N173" s="304" t="s">
        <v>90</v>
      </c>
      <c r="O173" s="306" t="s">
        <v>57</v>
      </c>
      <c r="P173" s="304">
        <v>1</v>
      </c>
      <c r="Q173" s="304">
        <v>1</v>
      </c>
      <c r="R173" s="304">
        <v>1</v>
      </c>
      <c r="S173" s="308">
        <v>0</v>
      </c>
    </row>
    <row r="174" spans="1:19" ht="180">
      <c r="A174" s="303">
        <v>169</v>
      </c>
      <c r="B174" s="304">
        <v>211</v>
      </c>
      <c r="C174" s="305" t="s">
        <v>215</v>
      </c>
      <c r="D174" s="306" t="s">
        <v>216</v>
      </c>
      <c r="E174" s="305" t="s">
        <v>770</v>
      </c>
      <c r="F174" s="306" t="s">
        <v>43</v>
      </c>
      <c r="G174" s="306" t="s">
        <v>1674</v>
      </c>
      <c r="H174" s="306" t="s">
        <v>1690</v>
      </c>
      <c r="I174" s="306" t="s">
        <v>1691</v>
      </c>
      <c r="J174" s="304" t="s">
        <v>87</v>
      </c>
      <c r="K174" s="307">
        <v>43405</v>
      </c>
      <c r="L174" s="307">
        <v>44012</v>
      </c>
      <c r="M174" s="306" t="s">
        <v>209</v>
      </c>
      <c r="N174" s="304" t="s">
        <v>96</v>
      </c>
      <c r="O174" s="306" t="s">
        <v>71</v>
      </c>
      <c r="P174" s="304">
        <v>1</v>
      </c>
      <c r="Q174" s="304">
        <v>1</v>
      </c>
      <c r="R174" s="304">
        <v>1</v>
      </c>
      <c r="S174" s="308">
        <v>0</v>
      </c>
    </row>
    <row r="175" spans="1:19" ht="180">
      <c r="A175" s="303">
        <v>170</v>
      </c>
      <c r="B175" s="304">
        <v>212</v>
      </c>
      <c r="C175" s="305" t="s">
        <v>215</v>
      </c>
      <c r="D175" s="306" t="s">
        <v>216</v>
      </c>
      <c r="E175" s="305" t="s">
        <v>770</v>
      </c>
      <c r="F175" s="306" t="s">
        <v>43</v>
      </c>
      <c r="G175" s="306" t="s">
        <v>1674</v>
      </c>
      <c r="H175" s="306" t="s">
        <v>1699</v>
      </c>
      <c r="I175" s="306" t="s">
        <v>1700</v>
      </c>
      <c r="J175" s="304" t="s">
        <v>87</v>
      </c>
      <c r="K175" s="307">
        <v>43405</v>
      </c>
      <c r="L175" s="309">
        <v>44196</v>
      </c>
      <c r="M175" s="306" t="s">
        <v>209</v>
      </c>
      <c r="N175" s="304" t="s">
        <v>96</v>
      </c>
      <c r="O175" s="306" t="s">
        <v>57</v>
      </c>
      <c r="P175" s="304">
        <v>1</v>
      </c>
      <c r="Q175" s="304">
        <v>1</v>
      </c>
      <c r="R175" s="304">
        <v>1</v>
      </c>
      <c r="S175" s="308">
        <v>0</v>
      </c>
    </row>
    <row r="176" spans="1:19" ht="180">
      <c r="A176" s="303">
        <v>171</v>
      </c>
      <c r="B176" s="304">
        <v>213</v>
      </c>
      <c r="C176" s="305" t="s">
        <v>215</v>
      </c>
      <c r="D176" s="306" t="s">
        <v>216</v>
      </c>
      <c r="E176" s="305" t="s">
        <v>770</v>
      </c>
      <c r="F176" s="306" t="s">
        <v>43</v>
      </c>
      <c r="G176" s="306" t="s">
        <v>1674</v>
      </c>
      <c r="H176" s="306" t="s">
        <v>1707</v>
      </c>
      <c r="I176" s="306" t="s">
        <v>1708</v>
      </c>
      <c r="J176" s="304" t="s">
        <v>87</v>
      </c>
      <c r="K176" s="307">
        <v>43405</v>
      </c>
      <c r="L176" s="307">
        <v>43646</v>
      </c>
      <c r="M176" s="306" t="s">
        <v>221</v>
      </c>
      <c r="N176" s="304" t="s">
        <v>90</v>
      </c>
      <c r="O176" s="306" t="s">
        <v>57</v>
      </c>
      <c r="P176" s="304">
        <v>1</v>
      </c>
      <c r="Q176" s="304">
        <v>1</v>
      </c>
      <c r="R176" s="304">
        <v>1</v>
      </c>
      <c r="S176" s="308">
        <v>0</v>
      </c>
    </row>
    <row r="177" spans="1:19" ht="180">
      <c r="A177" s="303">
        <v>172</v>
      </c>
      <c r="B177" s="304">
        <v>214</v>
      </c>
      <c r="C177" s="305" t="s">
        <v>215</v>
      </c>
      <c r="D177" s="306" t="s">
        <v>216</v>
      </c>
      <c r="E177" s="305" t="s">
        <v>770</v>
      </c>
      <c r="F177" s="306" t="s">
        <v>43</v>
      </c>
      <c r="G177" s="306" t="s">
        <v>1674</v>
      </c>
      <c r="H177" s="306" t="s">
        <v>1713</v>
      </c>
      <c r="I177" s="306" t="s">
        <v>1714</v>
      </c>
      <c r="J177" s="304" t="s">
        <v>87</v>
      </c>
      <c r="K177" s="307">
        <v>43405</v>
      </c>
      <c r="L177" s="307">
        <v>43738</v>
      </c>
      <c r="M177" s="306" t="s">
        <v>89</v>
      </c>
      <c r="N177" s="304" t="s">
        <v>90</v>
      </c>
      <c r="O177" s="306" t="s">
        <v>57</v>
      </c>
      <c r="P177" s="304">
        <v>1</v>
      </c>
      <c r="Q177" s="304">
        <v>1</v>
      </c>
      <c r="R177" s="304">
        <v>1</v>
      </c>
      <c r="S177" s="308">
        <v>0</v>
      </c>
    </row>
    <row r="178" spans="1:19" ht="180">
      <c r="A178" s="303">
        <v>173</v>
      </c>
      <c r="B178" s="304">
        <v>215</v>
      </c>
      <c r="C178" s="305" t="s">
        <v>215</v>
      </c>
      <c r="D178" s="306" t="s">
        <v>216</v>
      </c>
      <c r="E178" s="305" t="s">
        <v>770</v>
      </c>
      <c r="F178" s="306" t="s">
        <v>43</v>
      </c>
      <c r="G178" s="306" t="s">
        <v>1674</v>
      </c>
      <c r="H178" s="306" t="s">
        <v>1721</v>
      </c>
      <c r="I178" s="306" t="s">
        <v>1722</v>
      </c>
      <c r="J178" s="304" t="s">
        <v>87</v>
      </c>
      <c r="K178" s="307">
        <v>43405</v>
      </c>
      <c r="L178" s="309">
        <v>45657</v>
      </c>
      <c r="M178" s="306" t="s">
        <v>89</v>
      </c>
      <c r="N178" s="304" t="s">
        <v>90</v>
      </c>
      <c r="O178" s="306" t="s">
        <v>57</v>
      </c>
      <c r="P178" s="304">
        <v>1</v>
      </c>
      <c r="Q178" s="304">
        <v>1</v>
      </c>
      <c r="R178" s="304">
        <v>1</v>
      </c>
      <c r="S178" s="308">
        <v>0</v>
      </c>
    </row>
    <row r="179" spans="1:19" ht="144">
      <c r="A179" s="303">
        <v>174</v>
      </c>
      <c r="B179" s="304">
        <v>216</v>
      </c>
      <c r="C179" s="305" t="s">
        <v>215</v>
      </c>
      <c r="D179" s="306" t="s">
        <v>216</v>
      </c>
      <c r="E179" s="305" t="s">
        <v>770</v>
      </c>
      <c r="F179" s="306" t="s">
        <v>43</v>
      </c>
      <c r="G179" s="306" t="s">
        <v>1674</v>
      </c>
      <c r="H179" s="306" t="s">
        <v>1725</v>
      </c>
      <c r="I179" s="306" t="s">
        <v>1726</v>
      </c>
      <c r="J179" s="304" t="s">
        <v>87</v>
      </c>
      <c r="K179" s="307">
        <v>43405</v>
      </c>
      <c r="L179" s="309">
        <v>45657</v>
      </c>
      <c r="M179" s="306" t="s">
        <v>89</v>
      </c>
      <c r="N179" s="304" t="s">
        <v>90</v>
      </c>
      <c r="O179" s="306" t="s">
        <v>71</v>
      </c>
      <c r="P179" s="304">
        <v>1</v>
      </c>
      <c r="Q179" s="304">
        <v>1</v>
      </c>
      <c r="R179" s="304">
        <v>1</v>
      </c>
      <c r="S179" s="308">
        <v>0</v>
      </c>
    </row>
    <row r="180" spans="1:19" ht="180">
      <c r="A180" s="303">
        <v>175</v>
      </c>
      <c r="B180" s="304">
        <v>217</v>
      </c>
      <c r="C180" s="305" t="s">
        <v>215</v>
      </c>
      <c r="D180" s="306" t="s">
        <v>216</v>
      </c>
      <c r="E180" s="305" t="s">
        <v>770</v>
      </c>
      <c r="F180" s="306" t="s">
        <v>43</v>
      </c>
      <c r="G180" s="306" t="s">
        <v>1674</v>
      </c>
      <c r="H180" s="306" t="s">
        <v>1729</v>
      </c>
      <c r="I180" s="306" t="s">
        <v>1730</v>
      </c>
      <c r="J180" s="304" t="s">
        <v>87</v>
      </c>
      <c r="K180" s="307">
        <v>43405</v>
      </c>
      <c r="L180" s="307">
        <v>43646</v>
      </c>
      <c r="M180" s="306" t="s">
        <v>89</v>
      </c>
      <c r="N180" s="304" t="s">
        <v>90</v>
      </c>
      <c r="O180" s="306" t="s">
        <v>57</v>
      </c>
      <c r="P180" s="304">
        <v>1</v>
      </c>
      <c r="Q180" s="304">
        <v>1</v>
      </c>
      <c r="R180" s="304">
        <v>1</v>
      </c>
      <c r="S180" s="308">
        <v>0</v>
      </c>
    </row>
    <row r="181" spans="1:19" ht="60">
      <c r="A181" s="303">
        <v>176</v>
      </c>
      <c r="B181" s="304">
        <v>218</v>
      </c>
      <c r="C181" s="305" t="s">
        <v>215</v>
      </c>
      <c r="D181" s="306" t="s">
        <v>216</v>
      </c>
      <c r="E181" s="305" t="s">
        <v>770</v>
      </c>
      <c r="F181" s="306" t="s">
        <v>43</v>
      </c>
      <c r="G181" s="306" t="s">
        <v>1674</v>
      </c>
      <c r="H181" s="306" t="s">
        <v>1738</v>
      </c>
      <c r="I181" s="306" t="s">
        <v>1739</v>
      </c>
      <c r="J181" s="304" t="s">
        <v>87</v>
      </c>
      <c r="K181" s="307">
        <v>43405</v>
      </c>
      <c r="L181" s="307">
        <v>43738</v>
      </c>
      <c r="M181" s="306" t="s">
        <v>89</v>
      </c>
      <c r="N181" s="304" t="s">
        <v>90</v>
      </c>
      <c r="O181" s="306" t="s">
        <v>71</v>
      </c>
      <c r="P181" s="304">
        <v>1</v>
      </c>
      <c r="Q181" s="304">
        <v>1</v>
      </c>
      <c r="R181" s="304">
        <v>1</v>
      </c>
      <c r="S181" s="308">
        <v>0</v>
      </c>
    </row>
    <row r="182" spans="1:19" ht="180">
      <c r="A182" s="303">
        <v>177</v>
      </c>
      <c r="B182" s="304">
        <v>219</v>
      </c>
      <c r="C182" s="305" t="s">
        <v>215</v>
      </c>
      <c r="D182" s="306" t="s">
        <v>216</v>
      </c>
      <c r="E182" s="305" t="s">
        <v>770</v>
      </c>
      <c r="F182" s="306" t="s">
        <v>43</v>
      </c>
      <c r="G182" s="306" t="s">
        <v>1674</v>
      </c>
      <c r="H182" s="306" t="s">
        <v>1747</v>
      </c>
      <c r="I182" s="306" t="s">
        <v>1748</v>
      </c>
      <c r="J182" s="304" t="s">
        <v>87</v>
      </c>
      <c r="K182" s="307">
        <v>43405</v>
      </c>
      <c r="L182" s="309">
        <v>44561</v>
      </c>
      <c r="M182" s="306" t="s">
        <v>89</v>
      </c>
      <c r="N182" s="304" t="s">
        <v>90</v>
      </c>
      <c r="O182" s="306" t="s">
        <v>57</v>
      </c>
      <c r="P182" s="304">
        <v>1</v>
      </c>
      <c r="Q182" s="304">
        <v>1</v>
      </c>
      <c r="R182" s="304">
        <v>1</v>
      </c>
      <c r="S182" s="308">
        <v>0</v>
      </c>
    </row>
    <row r="183" spans="1:19" ht="180">
      <c r="A183" s="303">
        <v>178</v>
      </c>
      <c r="B183" s="304">
        <v>220</v>
      </c>
      <c r="C183" s="305" t="s">
        <v>215</v>
      </c>
      <c r="D183" s="306" t="s">
        <v>216</v>
      </c>
      <c r="E183" s="305" t="s">
        <v>770</v>
      </c>
      <c r="F183" s="306" t="s">
        <v>43</v>
      </c>
      <c r="G183" s="306" t="s">
        <v>181</v>
      </c>
      <c r="H183" s="306" t="s">
        <v>1758</v>
      </c>
      <c r="I183" s="306" t="s">
        <v>1760</v>
      </c>
      <c r="J183" s="304" t="s">
        <v>87</v>
      </c>
      <c r="K183" s="307">
        <v>43405</v>
      </c>
      <c r="L183" s="307">
        <v>44531</v>
      </c>
      <c r="M183" s="306" t="s">
        <v>89</v>
      </c>
      <c r="N183" s="304" t="s">
        <v>90</v>
      </c>
      <c r="O183" s="306" t="s">
        <v>57</v>
      </c>
      <c r="P183" s="304">
        <v>1</v>
      </c>
      <c r="Q183" s="304">
        <v>1</v>
      </c>
      <c r="R183" s="304">
        <v>1</v>
      </c>
      <c r="S183" s="308">
        <v>0</v>
      </c>
    </row>
    <row r="184" spans="1:19" ht="180">
      <c r="A184" s="303">
        <v>179</v>
      </c>
      <c r="B184" s="304">
        <v>221</v>
      </c>
      <c r="C184" s="305" t="s">
        <v>215</v>
      </c>
      <c r="D184" s="306" t="s">
        <v>216</v>
      </c>
      <c r="E184" s="305" t="s">
        <v>770</v>
      </c>
      <c r="F184" s="306" t="s">
        <v>43</v>
      </c>
      <c r="G184" s="306" t="s">
        <v>1674</v>
      </c>
      <c r="H184" s="306" t="s">
        <v>1767</v>
      </c>
      <c r="I184" s="306" t="s">
        <v>1768</v>
      </c>
      <c r="J184" s="304" t="s">
        <v>87</v>
      </c>
      <c r="K184" s="307">
        <v>43405</v>
      </c>
      <c r="L184" s="307">
        <v>45473</v>
      </c>
      <c r="M184" s="306" t="s">
        <v>89</v>
      </c>
      <c r="N184" s="304" t="s">
        <v>90</v>
      </c>
      <c r="O184" s="306" t="s">
        <v>57</v>
      </c>
      <c r="P184" s="304">
        <v>1</v>
      </c>
      <c r="Q184" s="304">
        <v>1</v>
      </c>
      <c r="R184" s="304">
        <v>1</v>
      </c>
      <c r="S184" s="308">
        <v>0</v>
      </c>
    </row>
    <row r="185" spans="1:19" ht="180">
      <c r="A185" s="303">
        <v>180</v>
      </c>
      <c r="B185" s="304">
        <v>222</v>
      </c>
      <c r="C185" s="305" t="s">
        <v>215</v>
      </c>
      <c r="D185" s="306" t="s">
        <v>216</v>
      </c>
      <c r="E185" s="305" t="s">
        <v>770</v>
      </c>
      <c r="F185" s="306" t="s">
        <v>43</v>
      </c>
      <c r="G185" s="306" t="s">
        <v>1674</v>
      </c>
      <c r="H185" s="306" t="s">
        <v>1772</v>
      </c>
      <c r="I185" s="306" t="s">
        <v>1773</v>
      </c>
      <c r="J185" s="304" t="s">
        <v>87</v>
      </c>
      <c r="K185" s="307">
        <v>43405</v>
      </c>
      <c r="L185" s="309">
        <v>45657</v>
      </c>
      <c r="M185" s="306" t="s">
        <v>205</v>
      </c>
      <c r="N185" s="304" t="s">
        <v>90</v>
      </c>
      <c r="O185" s="306" t="s">
        <v>57</v>
      </c>
      <c r="P185" s="304">
        <v>1</v>
      </c>
      <c r="Q185" s="304">
        <v>1</v>
      </c>
      <c r="R185" s="304">
        <v>1</v>
      </c>
      <c r="S185" s="308">
        <v>0</v>
      </c>
    </row>
    <row r="186" spans="1:19" ht="180">
      <c r="A186" s="303">
        <v>181</v>
      </c>
      <c r="B186" s="304">
        <v>223</v>
      </c>
      <c r="C186" s="305" t="s">
        <v>215</v>
      </c>
      <c r="D186" s="306" t="s">
        <v>216</v>
      </c>
      <c r="E186" s="305" t="s">
        <v>770</v>
      </c>
      <c r="F186" s="306" t="s">
        <v>43</v>
      </c>
      <c r="G186" s="306" t="s">
        <v>1674</v>
      </c>
      <c r="H186" s="306" t="s">
        <v>1788</v>
      </c>
      <c r="I186" s="306" t="s">
        <v>1789</v>
      </c>
      <c r="J186" s="304" t="s">
        <v>87</v>
      </c>
      <c r="K186" s="307">
        <v>43405</v>
      </c>
      <c r="L186" s="309">
        <v>45657</v>
      </c>
      <c r="M186" s="306" t="s">
        <v>205</v>
      </c>
      <c r="N186" s="304" t="s">
        <v>90</v>
      </c>
      <c r="O186" s="306" t="s">
        <v>57</v>
      </c>
      <c r="P186" s="304">
        <v>1</v>
      </c>
      <c r="Q186" s="304">
        <v>1</v>
      </c>
      <c r="R186" s="304">
        <v>1</v>
      </c>
      <c r="S186" s="308">
        <v>0</v>
      </c>
    </row>
    <row r="187" spans="1:19" ht="180">
      <c r="A187" s="303">
        <v>182</v>
      </c>
      <c r="B187" s="304">
        <v>224</v>
      </c>
      <c r="C187" s="305" t="s">
        <v>215</v>
      </c>
      <c r="D187" s="306" t="s">
        <v>216</v>
      </c>
      <c r="E187" s="305" t="s">
        <v>770</v>
      </c>
      <c r="F187" s="306" t="s">
        <v>43</v>
      </c>
      <c r="G187" s="306" t="s">
        <v>1674</v>
      </c>
      <c r="H187" s="306" t="s">
        <v>1796</v>
      </c>
      <c r="I187" s="306" t="s">
        <v>1797</v>
      </c>
      <c r="J187" s="304" t="s">
        <v>87</v>
      </c>
      <c r="K187" s="307">
        <v>43405</v>
      </c>
      <c r="L187" s="309">
        <v>45657</v>
      </c>
      <c r="M187" s="306" t="s">
        <v>89</v>
      </c>
      <c r="N187" s="304" t="s">
        <v>90</v>
      </c>
      <c r="O187" s="306" t="s">
        <v>57</v>
      </c>
      <c r="P187" s="304">
        <v>1</v>
      </c>
      <c r="Q187" s="304">
        <v>1</v>
      </c>
      <c r="R187" s="304">
        <v>1</v>
      </c>
      <c r="S187" s="308">
        <v>0</v>
      </c>
    </row>
    <row r="188" spans="1:19" ht="180">
      <c r="A188" s="303">
        <v>183</v>
      </c>
      <c r="B188" s="304">
        <v>225</v>
      </c>
      <c r="C188" s="305" t="s">
        <v>215</v>
      </c>
      <c r="D188" s="306" t="s">
        <v>216</v>
      </c>
      <c r="E188" s="305" t="s">
        <v>770</v>
      </c>
      <c r="F188" s="306" t="s">
        <v>43</v>
      </c>
      <c r="G188" s="306" t="s">
        <v>1674</v>
      </c>
      <c r="H188" s="306" t="s">
        <v>1803</v>
      </c>
      <c r="I188" s="306" t="s">
        <v>1804</v>
      </c>
      <c r="J188" s="304" t="s">
        <v>87</v>
      </c>
      <c r="K188" s="307">
        <v>43405</v>
      </c>
      <c r="L188" s="307">
        <v>45473</v>
      </c>
      <c r="M188" s="306" t="s">
        <v>89</v>
      </c>
      <c r="N188" s="304" t="s">
        <v>90</v>
      </c>
      <c r="O188" s="306" t="s">
        <v>57</v>
      </c>
      <c r="P188" s="304">
        <v>1</v>
      </c>
      <c r="Q188" s="304">
        <v>1</v>
      </c>
      <c r="R188" s="304">
        <v>1</v>
      </c>
      <c r="S188" s="308">
        <v>0</v>
      </c>
    </row>
    <row r="189" spans="1:19" ht="180">
      <c r="A189" s="303">
        <v>184</v>
      </c>
      <c r="B189" s="304">
        <v>226</v>
      </c>
      <c r="C189" s="305" t="s">
        <v>215</v>
      </c>
      <c r="D189" s="306" t="s">
        <v>216</v>
      </c>
      <c r="E189" s="305" t="s">
        <v>770</v>
      </c>
      <c r="F189" s="306" t="s">
        <v>43</v>
      </c>
      <c r="G189" s="306" t="s">
        <v>1674</v>
      </c>
      <c r="H189" s="306" t="s">
        <v>1806</v>
      </c>
      <c r="I189" s="306" t="s">
        <v>1807</v>
      </c>
      <c r="J189" s="304" t="s">
        <v>87</v>
      </c>
      <c r="K189" s="307">
        <v>43405</v>
      </c>
      <c r="L189" s="309">
        <v>45657</v>
      </c>
      <c r="M189" s="306" t="s">
        <v>205</v>
      </c>
      <c r="N189" s="304" t="s">
        <v>90</v>
      </c>
      <c r="O189" s="306" t="s">
        <v>57</v>
      </c>
      <c r="P189" s="304">
        <v>1</v>
      </c>
      <c r="Q189" s="304">
        <v>1</v>
      </c>
      <c r="R189" s="304">
        <v>1</v>
      </c>
      <c r="S189" s="308">
        <v>0</v>
      </c>
    </row>
    <row r="190" spans="1:19" ht="60">
      <c r="A190" s="303">
        <v>185</v>
      </c>
      <c r="B190" s="304">
        <v>227</v>
      </c>
      <c r="C190" s="305" t="s">
        <v>215</v>
      </c>
      <c r="D190" s="306" t="s">
        <v>216</v>
      </c>
      <c r="E190" s="305" t="s">
        <v>770</v>
      </c>
      <c r="F190" s="306" t="s">
        <v>43</v>
      </c>
      <c r="G190" s="306" t="s">
        <v>1674</v>
      </c>
      <c r="H190" s="306" t="s">
        <v>1808</v>
      </c>
      <c r="I190" s="306" t="s">
        <v>1809</v>
      </c>
      <c r="J190" s="304" t="s">
        <v>87</v>
      </c>
      <c r="K190" s="307">
        <v>43405</v>
      </c>
      <c r="L190" s="309">
        <v>45657</v>
      </c>
      <c r="M190" s="306" t="s">
        <v>205</v>
      </c>
      <c r="N190" s="304" t="s">
        <v>90</v>
      </c>
      <c r="O190" s="306" t="s">
        <v>71</v>
      </c>
      <c r="P190" s="304">
        <v>1</v>
      </c>
      <c r="Q190" s="304">
        <v>1</v>
      </c>
      <c r="R190" s="304">
        <v>1</v>
      </c>
      <c r="S190" s="308">
        <v>0</v>
      </c>
    </row>
    <row r="191" spans="1:19" ht="180">
      <c r="A191" s="303">
        <v>186</v>
      </c>
      <c r="B191" s="304">
        <v>228</v>
      </c>
      <c r="C191" s="305" t="s">
        <v>215</v>
      </c>
      <c r="D191" s="306" t="s">
        <v>216</v>
      </c>
      <c r="E191" s="305" t="s">
        <v>770</v>
      </c>
      <c r="F191" s="306" t="s">
        <v>43</v>
      </c>
      <c r="G191" s="306" t="s">
        <v>1674</v>
      </c>
      <c r="H191" s="306" t="s">
        <v>1810</v>
      </c>
      <c r="I191" s="306" t="s">
        <v>1789</v>
      </c>
      <c r="J191" s="304" t="s">
        <v>87</v>
      </c>
      <c r="K191" s="307">
        <v>43405</v>
      </c>
      <c r="L191" s="309">
        <v>45657</v>
      </c>
      <c r="M191" s="306" t="s">
        <v>205</v>
      </c>
      <c r="N191" s="304" t="s">
        <v>90</v>
      </c>
      <c r="O191" s="306" t="s">
        <v>57</v>
      </c>
      <c r="P191" s="304">
        <v>1</v>
      </c>
      <c r="Q191" s="304">
        <v>1</v>
      </c>
      <c r="R191" s="304">
        <v>1</v>
      </c>
      <c r="S191" s="308">
        <v>0</v>
      </c>
    </row>
    <row r="192" spans="1:19" ht="180">
      <c r="A192" s="303">
        <v>187</v>
      </c>
      <c r="B192" s="304">
        <v>229</v>
      </c>
      <c r="C192" s="305" t="s">
        <v>215</v>
      </c>
      <c r="D192" s="306" t="s">
        <v>216</v>
      </c>
      <c r="E192" s="305" t="s">
        <v>770</v>
      </c>
      <c r="F192" s="306" t="s">
        <v>43</v>
      </c>
      <c r="G192" s="306" t="s">
        <v>1674</v>
      </c>
      <c r="H192" s="306" t="s">
        <v>1811</v>
      </c>
      <c r="I192" s="306" t="s">
        <v>1812</v>
      </c>
      <c r="J192" s="304" t="s">
        <v>87</v>
      </c>
      <c r="K192" s="307">
        <v>43405</v>
      </c>
      <c r="L192" s="309">
        <v>45657</v>
      </c>
      <c r="M192" s="306" t="s">
        <v>205</v>
      </c>
      <c r="N192" s="304" t="s">
        <v>90</v>
      </c>
      <c r="O192" s="306" t="s">
        <v>57</v>
      </c>
      <c r="P192" s="304">
        <v>1</v>
      </c>
      <c r="Q192" s="304">
        <v>1</v>
      </c>
      <c r="R192" s="304">
        <v>1</v>
      </c>
      <c r="S192" s="308">
        <v>0</v>
      </c>
    </row>
    <row r="193" spans="1:19" ht="180">
      <c r="A193" s="303">
        <v>188</v>
      </c>
      <c r="B193" s="304">
        <v>230</v>
      </c>
      <c r="C193" s="305" t="s">
        <v>215</v>
      </c>
      <c r="D193" s="306" t="s">
        <v>216</v>
      </c>
      <c r="E193" s="305" t="s">
        <v>770</v>
      </c>
      <c r="F193" s="306" t="s">
        <v>43</v>
      </c>
      <c r="G193" s="306" t="s">
        <v>1674</v>
      </c>
      <c r="H193" s="306" t="s">
        <v>1813</v>
      </c>
      <c r="I193" s="306" t="s">
        <v>1814</v>
      </c>
      <c r="J193" s="304" t="s">
        <v>87</v>
      </c>
      <c r="K193" s="307">
        <v>43405</v>
      </c>
      <c r="L193" s="309">
        <v>45657</v>
      </c>
      <c r="M193" s="306" t="s">
        <v>205</v>
      </c>
      <c r="N193" s="304" t="s">
        <v>90</v>
      </c>
      <c r="O193" s="306" t="s">
        <v>57</v>
      </c>
      <c r="P193" s="304">
        <v>1</v>
      </c>
      <c r="Q193" s="304">
        <v>1</v>
      </c>
      <c r="R193" s="304">
        <v>1</v>
      </c>
      <c r="S193" s="308">
        <v>0</v>
      </c>
    </row>
    <row r="194" spans="1:19" ht="180">
      <c r="A194" s="303">
        <v>189</v>
      </c>
      <c r="B194" s="304">
        <v>231</v>
      </c>
      <c r="C194" s="305" t="s">
        <v>215</v>
      </c>
      <c r="D194" s="306" t="s">
        <v>216</v>
      </c>
      <c r="E194" s="305" t="s">
        <v>770</v>
      </c>
      <c r="F194" s="306" t="s">
        <v>43</v>
      </c>
      <c r="G194" s="306" t="s">
        <v>1815</v>
      </c>
      <c r="H194" s="306" t="s">
        <v>1816</v>
      </c>
      <c r="I194" s="306" t="s">
        <v>1817</v>
      </c>
      <c r="J194" s="304" t="s">
        <v>87</v>
      </c>
      <c r="K194" s="307">
        <v>43405</v>
      </c>
      <c r="L194" s="307">
        <v>43646</v>
      </c>
      <c r="M194" s="306" t="s">
        <v>221</v>
      </c>
      <c r="N194" s="304" t="s">
        <v>90</v>
      </c>
      <c r="O194" s="306" t="s">
        <v>57</v>
      </c>
      <c r="P194" s="304">
        <v>1</v>
      </c>
      <c r="Q194" s="304">
        <v>1</v>
      </c>
      <c r="R194" s="304">
        <v>1</v>
      </c>
      <c r="S194" s="308">
        <v>0</v>
      </c>
    </row>
    <row r="195" spans="1:19" ht="180">
      <c r="A195" s="303">
        <v>190</v>
      </c>
      <c r="B195" s="304">
        <v>232</v>
      </c>
      <c r="C195" s="305" t="s">
        <v>215</v>
      </c>
      <c r="D195" s="306" t="s">
        <v>216</v>
      </c>
      <c r="E195" s="305" t="s">
        <v>770</v>
      </c>
      <c r="F195" s="306" t="s">
        <v>43</v>
      </c>
      <c r="G195" s="306" t="s">
        <v>1815</v>
      </c>
      <c r="H195" s="306" t="s">
        <v>1818</v>
      </c>
      <c r="I195" s="306" t="s">
        <v>1819</v>
      </c>
      <c r="J195" s="304" t="s">
        <v>87</v>
      </c>
      <c r="K195" s="307">
        <v>43405</v>
      </c>
      <c r="L195" s="307">
        <v>43646</v>
      </c>
      <c r="M195" s="306" t="s">
        <v>221</v>
      </c>
      <c r="N195" s="304" t="s">
        <v>90</v>
      </c>
      <c r="O195" s="306" t="s">
        <v>57</v>
      </c>
      <c r="P195" s="304">
        <v>1</v>
      </c>
      <c r="Q195" s="304">
        <v>1</v>
      </c>
      <c r="R195" s="304">
        <v>1</v>
      </c>
      <c r="S195" s="308">
        <v>0</v>
      </c>
    </row>
    <row r="196" spans="1:19" ht="180">
      <c r="A196" s="303">
        <v>191</v>
      </c>
      <c r="B196" s="304">
        <v>233</v>
      </c>
      <c r="C196" s="305" t="s">
        <v>215</v>
      </c>
      <c r="D196" s="306" t="s">
        <v>216</v>
      </c>
      <c r="E196" s="305" t="s">
        <v>770</v>
      </c>
      <c r="F196" s="306" t="s">
        <v>43</v>
      </c>
      <c r="G196" s="306" t="s">
        <v>1815</v>
      </c>
      <c r="H196" s="306" t="s">
        <v>1820</v>
      </c>
      <c r="I196" s="306" t="s">
        <v>1821</v>
      </c>
      <c r="J196" s="304" t="s">
        <v>87</v>
      </c>
      <c r="K196" s="307">
        <v>43405</v>
      </c>
      <c r="L196" s="307">
        <v>43646</v>
      </c>
      <c r="M196" s="306" t="s">
        <v>221</v>
      </c>
      <c r="N196" s="304" t="s">
        <v>90</v>
      </c>
      <c r="O196" s="306" t="s">
        <v>57</v>
      </c>
      <c r="P196" s="304">
        <v>1</v>
      </c>
      <c r="Q196" s="304">
        <v>1</v>
      </c>
      <c r="R196" s="304">
        <v>1</v>
      </c>
      <c r="S196" s="308">
        <v>0</v>
      </c>
    </row>
    <row r="197" spans="1:19" ht="180">
      <c r="A197" s="303">
        <v>192</v>
      </c>
      <c r="B197" s="304">
        <v>234</v>
      </c>
      <c r="C197" s="305" t="s">
        <v>215</v>
      </c>
      <c r="D197" s="306" t="s">
        <v>216</v>
      </c>
      <c r="E197" s="305" t="s">
        <v>770</v>
      </c>
      <c r="F197" s="306" t="s">
        <v>43</v>
      </c>
      <c r="G197" s="306" t="s">
        <v>1815</v>
      </c>
      <c r="H197" s="306" t="s">
        <v>1822</v>
      </c>
      <c r="I197" s="306" t="s">
        <v>1823</v>
      </c>
      <c r="J197" s="304" t="s">
        <v>87</v>
      </c>
      <c r="K197" s="307">
        <v>43405</v>
      </c>
      <c r="L197" s="307">
        <v>43646</v>
      </c>
      <c r="M197" s="306" t="s">
        <v>89</v>
      </c>
      <c r="N197" s="304" t="s">
        <v>90</v>
      </c>
      <c r="O197" s="306" t="s">
        <v>57</v>
      </c>
      <c r="P197" s="304">
        <v>1</v>
      </c>
      <c r="Q197" s="304">
        <v>1</v>
      </c>
      <c r="R197" s="304">
        <v>1</v>
      </c>
      <c r="S197" s="308">
        <v>0</v>
      </c>
    </row>
    <row r="198" spans="1:19" ht="180">
      <c r="A198" s="303">
        <v>193</v>
      </c>
      <c r="B198" s="304">
        <v>235</v>
      </c>
      <c r="C198" s="305" t="s">
        <v>215</v>
      </c>
      <c r="D198" s="306" t="s">
        <v>216</v>
      </c>
      <c r="E198" s="305" t="s">
        <v>770</v>
      </c>
      <c r="F198" s="306" t="s">
        <v>43</v>
      </c>
      <c r="G198" s="306" t="s">
        <v>1815</v>
      </c>
      <c r="H198" s="306" t="s">
        <v>1825</v>
      </c>
      <c r="I198" s="306" t="s">
        <v>1826</v>
      </c>
      <c r="J198" s="304" t="s">
        <v>87</v>
      </c>
      <c r="K198" s="307">
        <v>43405</v>
      </c>
      <c r="L198" s="309">
        <v>45657</v>
      </c>
      <c r="M198" s="306" t="s">
        <v>205</v>
      </c>
      <c r="N198" s="304" t="s">
        <v>90</v>
      </c>
      <c r="O198" s="306" t="s">
        <v>57</v>
      </c>
      <c r="P198" s="304">
        <v>1</v>
      </c>
      <c r="Q198" s="304">
        <v>1</v>
      </c>
      <c r="R198" s="304">
        <v>1</v>
      </c>
      <c r="S198" s="308">
        <v>0</v>
      </c>
    </row>
    <row r="199" spans="1:19" ht="180">
      <c r="A199" s="303">
        <v>194</v>
      </c>
      <c r="B199" s="304">
        <v>236</v>
      </c>
      <c r="C199" s="305" t="s">
        <v>215</v>
      </c>
      <c r="D199" s="306" t="s">
        <v>216</v>
      </c>
      <c r="E199" s="305" t="s">
        <v>770</v>
      </c>
      <c r="F199" s="306" t="s">
        <v>43</v>
      </c>
      <c r="G199" s="306" t="s">
        <v>1815</v>
      </c>
      <c r="H199" s="306" t="s">
        <v>1833</v>
      </c>
      <c r="I199" s="306" t="s">
        <v>1834</v>
      </c>
      <c r="J199" s="304" t="s">
        <v>87</v>
      </c>
      <c r="K199" s="307">
        <v>43405</v>
      </c>
      <c r="L199" s="307">
        <v>43738</v>
      </c>
      <c r="M199" s="306" t="s">
        <v>89</v>
      </c>
      <c r="N199" s="304" t="s">
        <v>90</v>
      </c>
      <c r="O199" s="306" t="s">
        <v>57</v>
      </c>
      <c r="P199" s="304">
        <v>1</v>
      </c>
      <c r="Q199" s="304">
        <v>1</v>
      </c>
      <c r="R199" s="304">
        <v>1</v>
      </c>
      <c r="S199" s="308">
        <v>0</v>
      </c>
    </row>
    <row r="200" spans="1:19" ht="180">
      <c r="A200" s="303">
        <v>195</v>
      </c>
      <c r="B200" s="304">
        <v>237</v>
      </c>
      <c r="C200" s="305" t="s">
        <v>215</v>
      </c>
      <c r="D200" s="306" t="s">
        <v>216</v>
      </c>
      <c r="E200" s="305" t="s">
        <v>770</v>
      </c>
      <c r="F200" s="306" t="s">
        <v>43</v>
      </c>
      <c r="G200" s="306" t="s">
        <v>1815</v>
      </c>
      <c r="H200" s="306" t="s">
        <v>1842</v>
      </c>
      <c r="I200" s="306" t="s">
        <v>1843</v>
      </c>
      <c r="J200" s="304" t="s">
        <v>87</v>
      </c>
      <c r="K200" s="307">
        <v>43405</v>
      </c>
      <c r="L200" s="309">
        <v>45657</v>
      </c>
      <c r="M200" s="306" t="s">
        <v>205</v>
      </c>
      <c r="N200" s="304" t="s">
        <v>90</v>
      </c>
      <c r="O200" s="306" t="s">
        <v>57</v>
      </c>
      <c r="P200" s="304">
        <v>1</v>
      </c>
      <c r="Q200" s="304">
        <v>1</v>
      </c>
      <c r="R200" s="304">
        <v>1</v>
      </c>
      <c r="S200" s="308">
        <v>0</v>
      </c>
    </row>
    <row r="201" spans="1:19" ht="180">
      <c r="A201" s="303">
        <v>196</v>
      </c>
      <c r="B201" s="304">
        <v>238</v>
      </c>
      <c r="C201" s="305" t="s">
        <v>215</v>
      </c>
      <c r="D201" s="306" t="s">
        <v>216</v>
      </c>
      <c r="E201" s="305" t="s">
        <v>770</v>
      </c>
      <c r="F201" s="306" t="s">
        <v>43</v>
      </c>
      <c r="G201" s="306" t="s">
        <v>1815</v>
      </c>
      <c r="H201" s="306" t="s">
        <v>1850</v>
      </c>
      <c r="I201" s="306" t="s">
        <v>1851</v>
      </c>
      <c r="J201" s="304" t="s">
        <v>87</v>
      </c>
      <c r="K201" s="307">
        <v>43405</v>
      </c>
      <c r="L201" s="309">
        <v>45657</v>
      </c>
      <c r="M201" s="306" t="s">
        <v>205</v>
      </c>
      <c r="N201" s="304" t="s">
        <v>90</v>
      </c>
      <c r="O201" s="306" t="s">
        <v>57</v>
      </c>
      <c r="P201" s="304">
        <v>1</v>
      </c>
      <c r="Q201" s="304">
        <v>1</v>
      </c>
      <c r="R201" s="304">
        <v>1</v>
      </c>
      <c r="S201" s="308">
        <v>0</v>
      </c>
    </row>
    <row r="202" spans="1:19" ht="180">
      <c r="A202" s="303">
        <v>197</v>
      </c>
      <c r="B202" s="304">
        <v>239</v>
      </c>
      <c r="C202" s="305" t="s">
        <v>215</v>
      </c>
      <c r="D202" s="306" t="s">
        <v>216</v>
      </c>
      <c r="E202" s="305" t="s">
        <v>770</v>
      </c>
      <c r="F202" s="306" t="s">
        <v>43</v>
      </c>
      <c r="G202" s="306" t="s">
        <v>1815</v>
      </c>
      <c r="H202" s="306" t="s">
        <v>1856</v>
      </c>
      <c r="I202" s="306" t="s">
        <v>1857</v>
      </c>
      <c r="J202" s="304" t="s">
        <v>87</v>
      </c>
      <c r="K202" s="307">
        <v>43405</v>
      </c>
      <c r="L202" s="309">
        <v>45657</v>
      </c>
      <c r="M202" s="306" t="s">
        <v>205</v>
      </c>
      <c r="N202" s="304" t="s">
        <v>90</v>
      </c>
      <c r="O202" s="306" t="s">
        <v>57</v>
      </c>
      <c r="P202" s="304">
        <v>1</v>
      </c>
      <c r="Q202" s="304">
        <v>1</v>
      </c>
      <c r="R202" s="304">
        <v>1</v>
      </c>
      <c r="S202" s="308">
        <v>0</v>
      </c>
    </row>
    <row r="203" spans="1:19" ht="180">
      <c r="A203" s="303">
        <v>198</v>
      </c>
      <c r="B203" s="304">
        <v>240</v>
      </c>
      <c r="C203" s="305" t="s">
        <v>215</v>
      </c>
      <c r="D203" s="306" t="s">
        <v>216</v>
      </c>
      <c r="E203" s="305" t="s">
        <v>770</v>
      </c>
      <c r="F203" s="306" t="s">
        <v>43</v>
      </c>
      <c r="G203" s="306" t="s">
        <v>1815</v>
      </c>
      <c r="H203" s="306" t="s">
        <v>1866</v>
      </c>
      <c r="I203" s="306" t="s">
        <v>1867</v>
      </c>
      <c r="J203" s="304" t="s">
        <v>87</v>
      </c>
      <c r="K203" s="307">
        <v>43405</v>
      </c>
      <c r="L203" s="309">
        <v>45657</v>
      </c>
      <c r="M203" s="306" t="s">
        <v>205</v>
      </c>
      <c r="N203" s="304" t="s">
        <v>90</v>
      </c>
      <c r="O203" s="306" t="s">
        <v>57</v>
      </c>
      <c r="P203" s="304">
        <v>1</v>
      </c>
      <c r="Q203" s="304">
        <v>1</v>
      </c>
      <c r="R203" s="304">
        <v>1</v>
      </c>
      <c r="S203" s="308">
        <v>0</v>
      </c>
    </row>
    <row r="204" spans="1:19" ht="180">
      <c r="A204" s="303">
        <v>199</v>
      </c>
      <c r="B204" s="304">
        <v>241</v>
      </c>
      <c r="C204" s="305" t="s">
        <v>215</v>
      </c>
      <c r="D204" s="306" t="s">
        <v>216</v>
      </c>
      <c r="E204" s="305" t="s">
        <v>770</v>
      </c>
      <c r="F204" s="306" t="s">
        <v>43</v>
      </c>
      <c r="G204" s="306" t="s">
        <v>1815</v>
      </c>
      <c r="H204" s="306" t="s">
        <v>1874</v>
      </c>
      <c r="I204" s="306" t="s">
        <v>1826</v>
      </c>
      <c r="J204" s="304" t="s">
        <v>97</v>
      </c>
      <c r="K204" s="307">
        <v>43405</v>
      </c>
      <c r="L204" s="309">
        <v>45657</v>
      </c>
      <c r="M204" s="306" t="s">
        <v>205</v>
      </c>
      <c r="N204" s="304" t="s">
        <v>90</v>
      </c>
      <c r="O204" s="306" t="s">
        <v>57</v>
      </c>
      <c r="P204" s="304">
        <v>1</v>
      </c>
      <c r="Q204" s="304">
        <v>1</v>
      </c>
      <c r="R204" s="304">
        <v>1</v>
      </c>
      <c r="S204" s="308">
        <v>0</v>
      </c>
    </row>
    <row r="205" spans="1:19" ht="180">
      <c r="A205" s="303">
        <v>200</v>
      </c>
      <c r="B205" s="304">
        <v>242</v>
      </c>
      <c r="C205" s="305" t="s">
        <v>215</v>
      </c>
      <c r="D205" s="306" t="s">
        <v>216</v>
      </c>
      <c r="E205" s="305" t="s">
        <v>770</v>
      </c>
      <c r="F205" s="306" t="s">
        <v>43</v>
      </c>
      <c r="G205" s="306" t="s">
        <v>1815</v>
      </c>
      <c r="H205" s="306" t="s">
        <v>1880</v>
      </c>
      <c r="I205" s="306" t="s">
        <v>1843</v>
      </c>
      <c r="J205" s="304" t="s">
        <v>87</v>
      </c>
      <c r="K205" s="307">
        <v>43405</v>
      </c>
      <c r="L205" s="309">
        <v>45657</v>
      </c>
      <c r="M205" s="306" t="s">
        <v>205</v>
      </c>
      <c r="N205" s="304" t="s">
        <v>90</v>
      </c>
      <c r="O205" s="306" t="s">
        <v>57</v>
      </c>
      <c r="P205" s="304">
        <v>1</v>
      </c>
      <c r="Q205" s="304">
        <v>1</v>
      </c>
      <c r="R205" s="304">
        <v>1</v>
      </c>
      <c r="S205" s="308">
        <v>0</v>
      </c>
    </row>
    <row r="206" spans="1:19" ht="306">
      <c r="A206" s="303">
        <v>201</v>
      </c>
      <c r="B206" s="304">
        <v>243</v>
      </c>
      <c r="C206" s="305" t="s">
        <v>215</v>
      </c>
      <c r="D206" s="306" t="s">
        <v>216</v>
      </c>
      <c r="E206" s="305" t="s">
        <v>770</v>
      </c>
      <c r="F206" s="306" t="s">
        <v>43</v>
      </c>
      <c r="G206" s="306" t="s">
        <v>1815</v>
      </c>
      <c r="H206" s="306">
        <v>3</v>
      </c>
      <c r="I206" s="306" t="s">
        <v>1887</v>
      </c>
      <c r="J206" s="304" t="s">
        <v>87</v>
      </c>
      <c r="K206" s="307">
        <v>43405</v>
      </c>
      <c r="L206" s="309">
        <v>45657</v>
      </c>
      <c r="M206" s="306" t="s">
        <v>205</v>
      </c>
      <c r="N206" s="304" t="s">
        <v>90</v>
      </c>
      <c r="O206" s="306" t="s">
        <v>57</v>
      </c>
      <c r="P206" s="304">
        <v>1</v>
      </c>
      <c r="Q206" s="304">
        <v>1</v>
      </c>
      <c r="R206" s="304">
        <v>1</v>
      </c>
      <c r="S206" s="308">
        <v>0</v>
      </c>
    </row>
    <row r="207" spans="1:19" ht="180">
      <c r="A207" s="303">
        <v>202</v>
      </c>
      <c r="B207" s="304">
        <v>244</v>
      </c>
      <c r="C207" s="305" t="s">
        <v>215</v>
      </c>
      <c r="D207" s="306" t="s">
        <v>216</v>
      </c>
      <c r="E207" s="305" t="s">
        <v>770</v>
      </c>
      <c r="F207" s="306" t="s">
        <v>43</v>
      </c>
      <c r="G207" s="306" t="s">
        <v>1815</v>
      </c>
      <c r="H207" s="306" t="s">
        <v>1891</v>
      </c>
      <c r="I207" s="306" t="s">
        <v>1892</v>
      </c>
      <c r="J207" s="304" t="s">
        <v>87</v>
      </c>
      <c r="K207" s="307">
        <v>43405</v>
      </c>
      <c r="L207" s="309">
        <v>45657</v>
      </c>
      <c r="M207" s="306" t="s">
        <v>205</v>
      </c>
      <c r="N207" s="304" t="s">
        <v>90</v>
      </c>
      <c r="O207" s="306" t="s">
        <v>57</v>
      </c>
      <c r="P207" s="304">
        <v>1</v>
      </c>
      <c r="Q207" s="304">
        <v>1</v>
      </c>
      <c r="R207" s="304">
        <v>1</v>
      </c>
      <c r="S207" s="308">
        <v>0</v>
      </c>
    </row>
    <row r="208" spans="1:19" ht="216">
      <c r="A208" s="303">
        <v>203</v>
      </c>
      <c r="B208" s="304">
        <v>245</v>
      </c>
      <c r="C208" s="305" t="s">
        <v>215</v>
      </c>
      <c r="D208" s="306" t="s">
        <v>216</v>
      </c>
      <c r="E208" s="305" t="s">
        <v>770</v>
      </c>
      <c r="F208" s="306" t="s">
        <v>43</v>
      </c>
      <c r="G208" s="306" t="s">
        <v>1815</v>
      </c>
      <c r="H208" s="306" t="s">
        <v>1894</v>
      </c>
      <c r="I208" s="306" t="s">
        <v>1895</v>
      </c>
      <c r="J208" s="304" t="s">
        <v>87</v>
      </c>
      <c r="K208" s="307">
        <v>43405</v>
      </c>
      <c r="L208" s="309">
        <v>44561</v>
      </c>
      <c r="M208" s="306" t="s">
        <v>205</v>
      </c>
      <c r="N208" s="304" t="s">
        <v>90</v>
      </c>
      <c r="O208" s="306" t="s">
        <v>71</v>
      </c>
      <c r="P208" s="304">
        <v>1</v>
      </c>
      <c r="Q208" s="304">
        <v>1</v>
      </c>
      <c r="R208" s="304">
        <v>1</v>
      </c>
      <c r="S208" s="308">
        <v>0</v>
      </c>
    </row>
    <row r="209" spans="1:19" ht="204">
      <c r="A209" s="303">
        <v>204</v>
      </c>
      <c r="B209" s="304">
        <v>246</v>
      </c>
      <c r="C209" s="305" t="s">
        <v>215</v>
      </c>
      <c r="D209" s="306" t="s">
        <v>216</v>
      </c>
      <c r="E209" s="305" t="s">
        <v>770</v>
      </c>
      <c r="F209" s="306" t="s">
        <v>43</v>
      </c>
      <c r="G209" s="306" t="s">
        <v>1815</v>
      </c>
      <c r="H209" s="306" t="s">
        <v>1915</v>
      </c>
      <c r="I209" s="306" t="s">
        <v>1919</v>
      </c>
      <c r="J209" s="304" t="s">
        <v>97</v>
      </c>
      <c r="K209" s="307">
        <v>43405</v>
      </c>
      <c r="L209" s="309">
        <v>45657</v>
      </c>
      <c r="M209" s="306" t="s">
        <v>205</v>
      </c>
      <c r="N209" s="304" t="s">
        <v>90</v>
      </c>
      <c r="O209" s="306" t="s">
        <v>57</v>
      </c>
      <c r="P209" s="304">
        <v>1</v>
      </c>
      <c r="Q209" s="304">
        <v>1</v>
      </c>
      <c r="R209" s="304">
        <v>1</v>
      </c>
      <c r="S209" s="308">
        <v>0</v>
      </c>
    </row>
    <row r="210" spans="1:19" ht="144">
      <c r="A210" s="303">
        <v>205</v>
      </c>
      <c r="B210" s="304">
        <v>247</v>
      </c>
      <c r="C210" s="305" t="s">
        <v>215</v>
      </c>
      <c r="D210" s="306" t="s">
        <v>216</v>
      </c>
      <c r="E210" s="305" t="s">
        <v>772</v>
      </c>
      <c r="F210" s="306" t="s">
        <v>78</v>
      </c>
      <c r="G210" s="306" t="s">
        <v>1938</v>
      </c>
      <c r="H210" s="306" t="s">
        <v>1939</v>
      </c>
      <c r="I210" s="306" t="s">
        <v>1939</v>
      </c>
      <c r="J210" s="304" t="s">
        <v>87</v>
      </c>
      <c r="K210" s="307">
        <v>43405</v>
      </c>
      <c r="L210" s="309">
        <v>43830</v>
      </c>
      <c r="M210" s="306" t="s">
        <v>221</v>
      </c>
      <c r="N210" s="304" t="s">
        <v>96</v>
      </c>
      <c r="O210" s="306" t="s">
        <v>71</v>
      </c>
      <c r="P210" s="304">
        <v>1</v>
      </c>
      <c r="Q210" s="304">
        <v>1</v>
      </c>
      <c r="R210" s="304">
        <v>1</v>
      </c>
      <c r="S210" s="308">
        <v>0</v>
      </c>
    </row>
    <row r="211" spans="1:19" ht="180">
      <c r="A211" s="303">
        <v>206</v>
      </c>
      <c r="B211" s="304">
        <v>248</v>
      </c>
      <c r="C211" s="305" t="s">
        <v>215</v>
      </c>
      <c r="D211" s="306" t="s">
        <v>216</v>
      </c>
      <c r="E211" s="305" t="s">
        <v>772</v>
      </c>
      <c r="F211" s="306" t="s">
        <v>78</v>
      </c>
      <c r="G211" s="306" t="s">
        <v>1938</v>
      </c>
      <c r="H211" s="306" t="s">
        <v>1947</v>
      </c>
      <c r="I211" s="306" t="s">
        <v>1948</v>
      </c>
      <c r="J211" s="304" t="s">
        <v>87</v>
      </c>
      <c r="K211" s="307">
        <v>43405</v>
      </c>
      <c r="L211" s="309">
        <v>44196</v>
      </c>
      <c r="M211" s="306" t="s">
        <v>221</v>
      </c>
      <c r="N211" s="304" t="s">
        <v>96</v>
      </c>
      <c r="O211" s="306" t="s">
        <v>71</v>
      </c>
      <c r="P211" s="304">
        <v>1</v>
      </c>
      <c r="Q211" s="304">
        <v>1</v>
      </c>
      <c r="R211" s="304">
        <v>1</v>
      </c>
      <c r="S211" s="308">
        <v>0</v>
      </c>
    </row>
    <row r="212" spans="1:19" ht="409.6">
      <c r="A212" s="303">
        <v>207</v>
      </c>
      <c r="B212" s="304">
        <v>249</v>
      </c>
      <c r="C212" s="305" t="s">
        <v>215</v>
      </c>
      <c r="D212" s="306" t="s">
        <v>216</v>
      </c>
      <c r="E212" s="305" t="s">
        <v>772</v>
      </c>
      <c r="F212" s="306" t="s">
        <v>78</v>
      </c>
      <c r="G212" s="306" t="s">
        <v>1938</v>
      </c>
      <c r="H212" s="306" t="s">
        <v>1954</v>
      </c>
      <c r="I212" s="306" t="s">
        <v>1955</v>
      </c>
      <c r="J212" s="304" t="s">
        <v>87</v>
      </c>
      <c r="K212" s="307">
        <v>43405</v>
      </c>
      <c r="L212" s="309">
        <v>45657</v>
      </c>
      <c r="M212" s="306" t="s">
        <v>439</v>
      </c>
      <c r="N212" s="304" t="s">
        <v>90</v>
      </c>
      <c r="O212" s="306" t="s">
        <v>51</v>
      </c>
      <c r="P212" s="304">
        <v>1</v>
      </c>
      <c r="Q212" s="304">
        <v>1</v>
      </c>
      <c r="R212" s="304">
        <v>1</v>
      </c>
      <c r="S212" s="308">
        <v>0</v>
      </c>
    </row>
    <row r="213" spans="1:19" ht="409.6">
      <c r="A213" s="303">
        <v>208</v>
      </c>
      <c r="B213" s="304">
        <v>250</v>
      </c>
      <c r="C213" s="305" t="s">
        <v>215</v>
      </c>
      <c r="D213" s="306" t="s">
        <v>216</v>
      </c>
      <c r="E213" s="305" t="s">
        <v>772</v>
      </c>
      <c r="F213" s="306" t="s">
        <v>78</v>
      </c>
      <c r="G213" s="306" t="s">
        <v>1938</v>
      </c>
      <c r="H213" s="306" t="s">
        <v>1971</v>
      </c>
      <c r="I213" s="306" t="s">
        <v>1972</v>
      </c>
      <c r="J213" s="304" t="s">
        <v>87</v>
      </c>
      <c r="K213" s="307">
        <v>43405</v>
      </c>
      <c r="L213" s="309">
        <v>45657</v>
      </c>
      <c r="M213" s="306" t="s">
        <v>214</v>
      </c>
      <c r="N213" s="304" t="s">
        <v>90</v>
      </c>
      <c r="O213" s="306" t="s">
        <v>51</v>
      </c>
      <c r="P213" s="304">
        <v>1</v>
      </c>
      <c r="Q213" s="304">
        <v>1</v>
      </c>
      <c r="R213" s="304">
        <v>1</v>
      </c>
      <c r="S213" s="308">
        <v>0</v>
      </c>
    </row>
    <row r="214" spans="1:19" ht="306">
      <c r="A214" s="303">
        <v>209</v>
      </c>
      <c r="B214" s="304">
        <v>251</v>
      </c>
      <c r="C214" s="305" t="s">
        <v>215</v>
      </c>
      <c r="D214" s="306" t="s">
        <v>216</v>
      </c>
      <c r="E214" s="305" t="s">
        <v>772</v>
      </c>
      <c r="F214" s="306" t="s">
        <v>78</v>
      </c>
      <c r="G214" s="306" t="s">
        <v>1938</v>
      </c>
      <c r="H214" s="306" t="s">
        <v>1991</v>
      </c>
      <c r="I214" s="306" t="s">
        <v>1993</v>
      </c>
      <c r="J214" s="304" t="s">
        <v>87</v>
      </c>
      <c r="K214" s="307">
        <v>43405</v>
      </c>
      <c r="L214" s="309">
        <v>45657</v>
      </c>
      <c r="M214" s="306" t="s">
        <v>99</v>
      </c>
      <c r="N214" s="304" t="s">
        <v>90</v>
      </c>
      <c r="O214" s="306" t="s">
        <v>51</v>
      </c>
      <c r="P214" s="304">
        <v>1</v>
      </c>
      <c r="Q214" s="304">
        <v>1</v>
      </c>
      <c r="R214" s="304">
        <v>1</v>
      </c>
      <c r="S214" s="308">
        <v>0</v>
      </c>
    </row>
    <row r="215" spans="1:19" ht="295">
      <c r="A215" s="303">
        <v>210</v>
      </c>
      <c r="B215" s="304">
        <v>252</v>
      </c>
      <c r="C215" s="305" t="s">
        <v>215</v>
      </c>
      <c r="D215" s="306" t="s">
        <v>216</v>
      </c>
      <c r="E215" s="305" t="s">
        <v>772</v>
      </c>
      <c r="F215" s="306" t="s">
        <v>78</v>
      </c>
      <c r="G215" s="306" t="s">
        <v>1938</v>
      </c>
      <c r="H215" s="306" t="s">
        <v>2009</v>
      </c>
      <c r="I215" s="306" t="s">
        <v>2011</v>
      </c>
      <c r="J215" s="304" t="s">
        <v>87</v>
      </c>
      <c r="K215" s="307">
        <v>43405</v>
      </c>
      <c r="L215" s="309">
        <v>45657</v>
      </c>
      <c r="M215" s="306" t="s">
        <v>209</v>
      </c>
      <c r="N215" s="304" t="s">
        <v>90</v>
      </c>
      <c r="O215" s="306" t="s">
        <v>51</v>
      </c>
      <c r="P215" s="304">
        <v>1</v>
      </c>
      <c r="Q215" s="304">
        <v>1</v>
      </c>
      <c r="R215" s="304">
        <v>1</v>
      </c>
      <c r="S215" s="308">
        <v>0</v>
      </c>
    </row>
    <row r="216" spans="1:19" ht="284">
      <c r="A216" s="303">
        <v>211</v>
      </c>
      <c r="B216" s="304">
        <v>253</v>
      </c>
      <c r="C216" s="305" t="s">
        <v>215</v>
      </c>
      <c r="D216" s="306" t="s">
        <v>216</v>
      </c>
      <c r="E216" s="305" t="s">
        <v>772</v>
      </c>
      <c r="F216" s="306" t="s">
        <v>78</v>
      </c>
      <c r="G216" s="306" t="s">
        <v>1938</v>
      </c>
      <c r="H216" s="306" t="s">
        <v>2033</v>
      </c>
      <c r="I216" s="306" t="s">
        <v>2036</v>
      </c>
      <c r="J216" s="304" t="s">
        <v>87</v>
      </c>
      <c r="K216" s="307">
        <v>43405</v>
      </c>
      <c r="L216" s="309">
        <v>45657</v>
      </c>
      <c r="M216" s="306" t="s">
        <v>205</v>
      </c>
      <c r="N216" s="304" t="s">
        <v>90</v>
      </c>
      <c r="O216" s="306" t="s">
        <v>71</v>
      </c>
      <c r="P216" s="304">
        <v>1</v>
      </c>
      <c r="Q216" s="304">
        <v>1</v>
      </c>
      <c r="R216" s="304">
        <v>1</v>
      </c>
      <c r="S216" s="308">
        <v>0</v>
      </c>
    </row>
    <row r="217" spans="1:19" ht="361">
      <c r="A217" s="303">
        <v>212</v>
      </c>
      <c r="B217" s="304">
        <v>254</v>
      </c>
      <c r="C217" s="305" t="s">
        <v>215</v>
      </c>
      <c r="D217" s="306" t="s">
        <v>216</v>
      </c>
      <c r="E217" s="305" t="s">
        <v>772</v>
      </c>
      <c r="F217" s="306" t="s">
        <v>78</v>
      </c>
      <c r="G217" s="306" t="s">
        <v>1938</v>
      </c>
      <c r="H217" s="306" t="s">
        <v>2052</v>
      </c>
      <c r="I217" s="306" t="s">
        <v>2053</v>
      </c>
      <c r="J217" s="304" t="s">
        <v>87</v>
      </c>
      <c r="K217" s="307">
        <v>43405</v>
      </c>
      <c r="L217" s="309">
        <v>45657</v>
      </c>
      <c r="M217" s="306" t="s">
        <v>99</v>
      </c>
      <c r="N217" s="304" t="s">
        <v>90</v>
      </c>
      <c r="O217" s="306" t="s">
        <v>51</v>
      </c>
      <c r="P217" s="304">
        <v>1</v>
      </c>
      <c r="Q217" s="304">
        <v>1</v>
      </c>
      <c r="R217" s="304">
        <v>1</v>
      </c>
      <c r="S217" s="308">
        <v>0</v>
      </c>
    </row>
    <row r="218" spans="1:19" ht="228">
      <c r="A218" s="303">
        <v>213</v>
      </c>
      <c r="B218" s="304">
        <v>255</v>
      </c>
      <c r="C218" s="305" t="s">
        <v>215</v>
      </c>
      <c r="D218" s="306" t="s">
        <v>216</v>
      </c>
      <c r="E218" s="305" t="s">
        <v>772</v>
      </c>
      <c r="F218" s="306" t="s">
        <v>78</v>
      </c>
      <c r="G218" s="306" t="s">
        <v>1938</v>
      </c>
      <c r="H218" s="306" t="s">
        <v>2063</v>
      </c>
      <c r="I218" s="306" t="s">
        <v>2064</v>
      </c>
      <c r="J218" s="304" t="s">
        <v>87</v>
      </c>
      <c r="K218" s="307">
        <v>43405</v>
      </c>
      <c r="L218" s="309">
        <v>44561</v>
      </c>
      <c r="M218" s="306" t="s">
        <v>221</v>
      </c>
      <c r="N218" s="304" t="s">
        <v>90</v>
      </c>
      <c r="O218" s="306" t="s">
        <v>51</v>
      </c>
      <c r="P218" s="304">
        <v>1</v>
      </c>
      <c r="Q218" s="304">
        <v>1</v>
      </c>
      <c r="R218" s="304">
        <v>1</v>
      </c>
      <c r="S218" s="308">
        <v>0</v>
      </c>
    </row>
    <row r="219" spans="1:19" ht="251">
      <c r="A219" s="303">
        <v>214</v>
      </c>
      <c r="B219" s="304">
        <v>256</v>
      </c>
      <c r="C219" s="305" t="s">
        <v>215</v>
      </c>
      <c r="D219" s="306" t="s">
        <v>216</v>
      </c>
      <c r="E219" s="305" t="s">
        <v>772</v>
      </c>
      <c r="F219" s="306" t="s">
        <v>78</v>
      </c>
      <c r="G219" s="306" t="s">
        <v>1938</v>
      </c>
      <c r="H219" s="306" t="s">
        <v>2071</v>
      </c>
      <c r="I219" s="306" t="s">
        <v>2072</v>
      </c>
      <c r="J219" s="304" t="s">
        <v>87</v>
      </c>
      <c r="K219" s="307">
        <v>43405</v>
      </c>
      <c r="L219" s="309">
        <v>45657</v>
      </c>
      <c r="M219" s="306" t="s">
        <v>99</v>
      </c>
      <c r="N219" s="304" t="s">
        <v>90</v>
      </c>
      <c r="O219" s="306" t="s">
        <v>51</v>
      </c>
      <c r="P219" s="304">
        <v>1</v>
      </c>
      <c r="Q219" s="304">
        <v>1</v>
      </c>
      <c r="R219" s="304">
        <v>1</v>
      </c>
      <c r="S219" s="308">
        <v>0</v>
      </c>
    </row>
    <row r="220" spans="1:19" ht="144">
      <c r="A220" s="303">
        <v>215</v>
      </c>
      <c r="B220" s="304">
        <v>257</v>
      </c>
      <c r="C220" s="305" t="s">
        <v>215</v>
      </c>
      <c r="D220" s="306" t="s">
        <v>216</v>
      </c>
      <c r="E220" s="305" t="s">
        <v>772</v>
      </c>
      <c r="F220" s="306" t="s">
        <v>78</v>
      </c>
      <c r="G220" s="306" t="s">
        <v>1938</v>
      </c>
      <c r="H220" s="306" t="s">
        <v>2081</v>
      </c>
      <c r="I220" s="306" t="s">
        <v>2082</v>
      </c>
      <c r="J220" s="304" t="s">
        <v>87</v>
      </c>
      <c r="K220" s="307">
        <v>43405</v>
      </c>
      <c r="L220" s="309">
        <v>45657</v>
      </c>
      <c r="M220" s="306" t="s">
        <v>99</v>
      </c>
      <c r="N220" s="304" t="s">
        <v>90</v>
      </c>
      <c r="O220" s="306" t="s">
        <v>51</v>
      </c>
      <c r="P220" s="304">
        <v>1</v>
      </c>
      <c r="Q220" s="304">
        <v>1</v>
      </c>
      <c r="R220" s="304">
        <v>1</v>
      </c>
      <c r="S220" s="308">
        <v>0</v>
      </c>
    </row>
    <row r="221" spans="1:19" ht="328">
      <c r="A221" s="303">
        <v>216</v>
      </c>
      <c r="B221" s="304">
        <v>258</v>
      </c>
      <c r="C221" s="305" t="s">
        <v>215</v>
      </c>
      <c r="D221" s="306" t="s">
        <v>216</v>
      </c>
      <c r="E221" s="305" t="s">
        <v>772</v>
      </c>
      <c r="F221" s="306" t="s">
        <v>78</v>
      </c>
      <c r="G221" s="306" t="s">
        <v>1938</v>
      </c>
      <c r="H221" s="306" t="s">
        <v>2089</v>
      </c>
      <c r="I221" s="306" t="s">
        <v>2090</v>
      </c>
      <c r="J221" s="304" t="s">
        <v>87</v>
      </c>
      <c r="K221" s="307">
        <v>43405</v>
      </c>
      <c r="L221" s="307">
        <v>45382</v>
      </c>
      <c r="M221" s="306" t="s">
        <v>99</v>
      </c>
      <c r="N221" s="304" t="s">
        <v>90</v>
      </c>
      <c r="O221" s="306" t="s">
        <v>51</v>
      </c>
      <c r="P221" s="304">
        <v>1</v>
      </c>
      <c r="Q221" s="304">
        <v>1</v>
      </c>
      <c r="R221" s="304">
        <v>1</v>
      </c>
      <c r="S221" s="308">
        <v>0</v>
      </c>
    </row>
    <row r="222" spans="1:19" ht="409.6">
      <c r="A222" s="303">
        <v>217</v>
      </c>
      <c r="B222" s="304">
        <v>259</v>
      </c>
      <c r="C222" s="305" t="s">
        <v>215</v>
      </c>
      <c r="D222" s="306" t="s">
        <v>216</v>
      </c>
      <c r="E222" s="305" t="s">
        <v>772</v>
      </c>
      <c r="F222" s="306" t="s">
        <v>78</v>
      </c>
      <c r="G222" s="306" t="s">
        <v>1938</v>
      </c>
      <c r="H222" s="306" t="s">
        <v>2096</v>
      </c>
      <c r="I222" s="306" t="s">
        <v>2097</v>
      </c>
      <c r="J222" s="304" t="s">
        <v>87</v>
      </c>
      <c r="K222" s="307">
        <v>43405</v>
      </c>
      <c r="L222" s="309">
        <v>45657</v>
      </c>
      <c r="M222" s="306" t="s">
        <v>209</v>
      </c>
      <c r="N222" s="304" t="s">
        <v>90</v>
      </c>
      <c r="O222" s="306" t="s">
        <v>51</v>
      </c>
      <c r="P222" s="304">
        <v>1</v>
      </c>
      <c r="Q222" s="304">
        <v>1</v>
      </c>
      <c r="R222" s="304">
        <v>1</v>
      </c>
      <c r="S222" s="308">
        <v>0</v>
      </c>
    </row>
    <row r="223" spans="1:19" ht="409.6">
      <c r="A223" s="303">
        <v>218</v>
      </c>
      <c r="B223" s="304">
        <v>260</v>
      </c>
      <c r="C223" s="305" t="s">
        <v>215</v>
      </c>
      <c r="D223" s="306" t="s">
        <v>216</v>
      </c>
      <c r="E223" s="305" t="s">
        <v>772</v>
      </c>
      <c r="F223" s="306" t="s">
        <v>78</v>
      </c>
      <c r="G223" s="306" t="s">
        <v>1938</v>
      </c>
      <c r="H223" s="306" t="s">
        <v>2104</v>
      </c>
      <c r="I223" s="306" t="s">
        <v>2105</v>
      </c>
      <c r="J223" s="304" t="s">
        <v>87</v>
      </c>
      <c r="K223" s="307">
        <v>43405</v>
      </c>
      <c r="L223" s="309">
        <v>45657</v>
      </c>
      <c r="M223" s="306" t="s">
        <v>99</v>
      </c>
      <c r="N223" s="304" t="s">
        <v>90</v>
      </c>
      <c r="O223" s="306" t="s">
        <v>51</v>
      </c>
      <c r="P223" s="304">
        <v>1</v>
      </c>
      <c r="Q223" s="304">
        <v>1</v>
      </c>
      <c r="R223" s="304">
        <v>1</v>
      </c>
      <c r="S223" s="308">
        <v>0</v>
      </c>
    </row>
    <row r="224" spans="1:19" ht="409.6">
      <c r="A224" s="303">
        <v>219</v>
      </c>
      <c r="B224" s="304">
        <v>261</v>
      </c>
      <c r="C224" s="305" t="s">
        <v>215</v>
      </c>
      <c r="D224" s="306" t="s">
        <v>216</v>
      </c>
      <c r="E224" s="305" t="s">
        <v>772</v>
      </c>
      <c r="F224" s="306" t="s">
        <v>78</v>
      </c>
      <c r="G224" s="306" t="s">
        <v>1938</v>
      </c>
      <c r="H224" s="306" t="s">
        <v>2108</v>
      </c>
      <c r="I224" s="306" t="s">
        <v>2109</v>
      </c>
      <c r="J224" s="304" t="s">
        <v>87</v>
      </c>
      <c r="K224" s="307">
        <v>43405</v>
      </c>
      <c r="L224" s="309">
        <v>45657</v>
      </c>
      <c r="M224" s="306" t="s">
        <v>209</v>
      </c>
      <c r="N224" s="304" t="s">
        <v>90</v>
      </c>
      <c r="O224" s="306" t="s">
        <v>51</v>
      </c>
      <c r="P224" s="304">
        <v>1</v>
      </c>
      <c r="Q224" s="304">
        <v>1</v>
      </c>
      <c r="R224" s="304">
        <v>1</v>
      </c>
      <c r="S224" s="308">
        <v>0</v>
      </c>
    </row>
    <row r="225" spans="1:19" ht="409.6">
      <c r="A225" s="303">
        <v>220</v>
      </c>
      <c r="B225" s="304">
        <v>262</v>
      </c>
      <c r="C225" s="305" t="s">
        <v>215</v>
      </c>
      <c r="D225" s="306" t="s">
        <v>216</v>
      </c>
      <c r="E225" s="305" t="s">
        <v>772</v>
      </c>
      <c r="F225" s="306" t="s">
        <v>78</v>
      </c>
      <c r="G225" s="306" t="s">
        <v>1938</v>
      </c>
      <c r="H225" s="306" t="s">
        <v>2110</v>
      </c>
      <c r="I225" s="306" t="s">
        <v>2111</v>
      </c>
      <c r="J225" s="304" t="s">
        <v>87</v>
      </c>
      <c r="K225" s="307">
        <v>43405</v>
      </c>
      <c r="L225" s="309">
        <v>45657</v>
      </c>
      <c r="M225" s="306" t="s">
        <v>209</v>
      </c>
      <c r="N225" s="304" t="s">
        <v>90</v>
      </c>
      <c r="O225" s="306" t="s">
        <v>51</v>
      </c>
      <c r="P225" s="304">
        <v>1</v>
      </c>
      <c r="Q225" s="304">
        <v>1</v>
      </c>
      <c r="R225" s="304">
        <v>1</v>
      </c>
      <c r="S225" s="308">
        <v>0</v>
      </c>
    </row>
    <row r="226" spans="1:19" ht="251">
      <c r="A226" s="303">
        <v>221</v>
      </c>
      <c r="B226" s="304">
        <v>263</v>
      </c>
      <c r="C226" s="305" t="s">
        <v>215</v>
      </c>
      <c r="D226" s="306" t="s">
        <v>216</v>
      </c>
      <c r="E226" s="305" t="s">
        <v>772</v>
      </c>
      <c r="F226" s="306" t="s">
        <v>78</v>
      </c>
      <c r="G226" s="306" t="s">
        <v>1938</v>
      </c>
      <c r="H226" s="306" t="s">
        <v>2112</v>
      </c>
      <c r="I226" s="306" t="s">
        <v>2113</v>
      </c>
      <c r="J226" s="304" t="s">
        <v>87</v>
      </c>
      <c r="K226" s="307">
        <v>43405</v>
      </c>
      <c r="L226" s="309">
        <v>45657</v>
      </c>
      <c r="M226" s="306" t="s">
        <v>209</v>
      </c>
      <c r="N226" s="304" t="s">
        <v>90</v>
      </c>
      <c r="O226" s="306" t="s">
        <v>51</v>
      </c>
      <c r="P226" s="304">
        <v>1</v>
      </c>
      <c r="Q226" s="304">
        <v>1</v>
      </c>
      <c r="R226" s="304">
        <v>1</v>
      </c>
      <c r="S226" s="308">
        <v>0</v>
      </c>
    </row>
    <row r="227" spans="1:19" ht="180">
      <c r="A227" s="303">
        <v>222</v>
      </c>
      <c r="B227" s="304">
        <v>264</v>
      </c>
      <c r="C227" s="305" t="s">
        <v>215</v>
      </c>
      <c r="D227" s="306" t="s">
        <v>216</v>
      </c>
      <c r="E227" s="305" t="s">
        <v>772</v>
      </c>
      <c r="F227" s="306" t="s">
        <v>78</v>
      </c>
      <c r="G227" s="306" t="s">
        <v>1938</v>
      </c>
      <c r="H227" s="306" t="s">
        <v>2114</v>
      </c>
      <c r="I227" s="306" t="s">
        <v>2115</v>
      </c>
      <c r="J227" s="304" t="s">
        <v>87</v>
      </c>
      <c r="K227" s="307">
        <v>43405</v>
      </c>
      <c r="L227" s="309">
        <v>45657</v>
      </c>
      <c r="M227" s="306" t="s">
        <v>209</v>
      </c>
      <c r="N227" s="304" t="s">
        <v>90</v>
      </c>
      <c r="O227" s="306" t="s">
        <v>51</v>
      </c>
      <c r="P227" s="304">
        <v>1</v>
      </c>
      <c r="Q227" s="304">
        <v>1</v>
      </c>
      <c r="R227" s="304">
        <v>1</v>
      </c>
      <c r="S227" s="308">
        <v>0</v>
      </c>
    </row>
    <row r="228" spans="1:19" ht="144">
      <c r="A228" s="303">
        <v>223</v>
      </c>
      <c r="B228" s="304">
        <v>265</v>
      </c>
      <c r="C228" s="305" t="s">
        <v>215</v>
      </c>
      <c r="D228" s="306" t="s">
        <v>216</v>
      </c>
      <c r="E228" s="305" t="s">
        <v>772</v>
      </c>
      <c r="F228" s="306" t="s">
        <v>78</v>
      </c>
      <c r="G228" s="306" t="s">
        <v>1938</v>
      </c>
      <c r="H228" s="306" t="s">
        <v>2116</v>
      </c>
      <c r="I228" s="306" t="s">
        <v>2117</v>
      </c>
      <c r="J228" s="304" t="s">
        <v>87</v>
      </c>
      <c r="K228" s="307">
        <v>43405</v>
      </c>
      <c r="L228" s="309">
        <v>45657</v>
      </c>
      <c r="M228" s="306" t="s">
        <v>99</v>
      </c>
      <c r="N228" s="304" t="s">
        <v>90</v>
      </c>
      <c r="O228" s="306" t="s">
        <v>51</v>
      </c>
      <c r="P228" s="304">
        <v>1</v>
      </c>
      <c r="Q228" s="304">
        <v>1</v>
      </c>
      <c r="R228" s="304">
        <v>1</v>
      </c>
      <c r="S228" s="308">
        <v>0</v>
      </c>
    </row>
    <row r="229" spans="1:19" ht="409.6">
      <c r="A229" s="303">
        <v>224</v>
      </c>
      <c r="B229" s="304">
        <v>266</v>
      </c>
      <c r="C229" s="305" t="s">
        <v>215</v>
      </c>
      <c r="D229" s="306" t="s">
        <v>216</v>
      </c>
      <c r="E229" s="305" t="s">
        <v>772</v>
      </c>
      <c r="F229" s="306" t="s">
        <v>78</v>
      </c>
      <c r="G229" s="306" t="s">
        <v>1938</v>
      </c>
      <c r="H229" s="306" t="s">
        <v>2118</v>
      </c>
      <c r="I229" s="306" t="s">
        <v>2119</v>
      </c>
      <c r="J229" s="304" t="s">
        <v>87</v>
      </c>
      <c r="K229" s="307">
        <v>43405</v>
      </c>
      <c r="L229" s="309">
        <v>45657</v>
      </c>
      <c r="M229" s="306" t="s">
        <v>209</v>
      </c>
      <c r="N229" s="304" t="s">
        <v>90</v>
      </c>
      <c r="O229" s="306" t="s">
        <v>51</v>
      </c>
      <c r="P229" s="304">
        <v>1</v>
      </c>
      <c r="Q229" s="304">
        <v>1</v>
      </c>
      <c r="R229" s="304">
        <v>1</v>
      </c>
      <c r="S229" s="308">
        <v>0</v>
      </c>
    </row>
    <row r="230" spans="1:19" ht="409.6">
      <c r="A230" s="303">
        <v>225</v>
      </c>
      <c r="B230" s="304">
        <v>267</v>
      </c>
      <c r="C230" s="305" t="s">
        <v>215</v>
      </c>
      <c r="D230" s="306" t="s">
        <v>216</v>
      </c>
      <c r="E230" s="305" t="s">
        <v>772</v>
      </c>
      <c r="F230" s="306" t="s">
        <v>78</v>
      </c>
      <c r="G230" s="306" t="s">
        <v>1938</v>
      </c>
      <c r="H230" s="306" t="s">
        <v>2120</v>
      </c>
      <c r="I230" s="306" t="s">
        <v>2119</v>
      </c>
      <c r="J230" s="304" t="s">
        <v>87</v>
      </c>
      <c r="K230" s="307">
        <v>43405</v>
      </c>
      <c r="L230" s="309">
        <v>45657</v>
      </c>
      <c r="M230" s="306" t="s">
        <v>209</v>
      </c>
      <c r="N230" s="304" t="s">
        <v>90</v>
      </c>
      <c r="O230" s="306" t="s">
        <v>51</v>
      </c>
      <c r="P230" s="304">
        <v>1</v>
      </c>
      <c r="Q230" s="304">
        <v>1</v>
      </c>
      <c r="R230" s="304">
        <v>1</v>
      </c>
      <c r="S230" s="308">
        <v>0</v>
      </c>
    </row>
    <row r="231" spans="1:19" ht="144">
      <c r="A231" s="303">
        <v>226</v>
      </c>
      <c r="B231" s="304">
        <v>268</v>
      </c>
      <c r="C231" s="305" t="s">
        <v>215</v>
      </c>
      <c r="D231" s="306" t="s">
        <v>216</v>
      </c>
      <c r="E231" s="305" t="s">
        <v>772</v>
      </c>
      <c r="F231" s="306" t="s">
        <v>78</v>
      </c>
      <c r="G231" s="306" t="s">
        <v>1938</v>
      </c>
      <c r="H231" s="306" t="s">
        <v>2122</v>
      </c>
      <c r="I231" s="306" t="s">
        <v>2124</v>
      </c>
      <c r="J231" s="304" t="s">
        <v>87</v>
      </c>
      <c r="K231" s="307">
        <v>43405</v>
      </c>
      <c r="L231" s="309">
        <v>45657</v>
      </c>
      <c r="M231" s="306" t="s">
        <v>209</v>
      </c>
      <c r="N231" s="304" t="s">
        <v>90</v>
      </c>
      <c r="O231" s="306" t="s">
        <v>51</v>
      </c>
      <c r="P231" s="304">
        <v>1</v>
      </c>
      <c r="Q231" s="304">
        <v>1</v>
      </c>
      <c r="R231" s="304">
        <v>1</v>
      </c>
      <c r="S231" s="308">
        <v>0</v>
      </c>
    </row>
    <row r="232" spans="1:19" ht="180">
      <c r="A232" s="303">
        <v>227</v>
      </c>
      <c r="B232" s="304">
        <v>269</v>
      </c>
      <c r="C232" s="305" t="s">
        <v>215</v>
      </c>
      <c r="D232" s="306" t="s">
        <v>216</v>
      </c>
      <c r="E232" s="305" t="s">
        <v>772</v>
      </c>
      <c r="F232" s="306" t="s">
        <v>78</v>
      </c>
      <c r="G232" s="306" t="s">
        <v>1938</v>
      </c>
      <c r="H232" s="306" t="s">
        <v>2126</v>
      </c>
      <c r="I232" s="306" t="s">
        <v>2127</v>
      </c>
      <c r="J232" s="304" t="s">
        <v>87</v>
      </c>
      <c r="K232" s="307">
        <v>43405</v>
      </c>
      <c r="L232" s="309">
        <v>43465</v>
      </c>
      <c r="M232" s="306" t="s">
        <v>344</v>
      </c>
      <c r="N232" s="304" t="s">
        <v>90</v>
      </c>
      <c r="O232" s="306" t="s">
        <v>71</v>
      </c>
      <c r="P232" s="304">
        <v>1</v>
      </c>
      <c r="Q232" s="304">
        <v>1</v>
      </c>
      <c r="R232" s="304">
        <v>1</v>
      </c>
      <c r="S232" s="308">
        <v>0</v>
      </c>
    </row>
    <row r="233" spans="1:19" ht="409.6">
      <c r="A233" s="303">
        <v>228</v>
      </c>
      <c r="B233" s="304">
        <v>270</v>
      </c>
      <c r="C233" s="305" t="s">
        <v>215</v>
      </c>
      <c r="D233" s="306" t="s">
        <v>216</v>
      </c>
      <c r="E233" s="305" t="s">
        <v>772</v>
      </c>
      <c r="F233" s="306" t="s">
        <v>78</v>
      </c>
      <c r="G233" s="306" t="s">
        <v>1938</v>
      </c>
      <c r="H233" s="306" t="s">
        <v>2128</v>
      </c>
      <c r="I233" s="306" t="s">
        <v>2129</v>
      </c>
      <c r="J233" s="304" t="s">
        <v>87</v>
      </c>
      <c r="K233" s="307">
        <v>43405</v>
      </c>
      <c r="L233" s="309">
        <v>45657</v>
      </c>
      <c r="M233" s="306" t="s">
        <v>89</v>
      </c>
      <c r="N233" s="304" t="s">
        <v>90</v>
      </c>
      <c r="O233" s="306" t="s">
        <v>71</v>
      </c>
      <c r="P233" s="304">
        <v>1</v>
      </c>
      <c r="Q233" s="304">
        <v>1</v>
      </c>
      <c r="R233" s="304">
        <v>1</v>
      </c>
      <c r="S233" s="308">
        <v>0</v>
      </c>
    </row>
    <row r="234" spans="1:19" ht="409.6">
      <c r="A234" s="303">
        <v>229</v>
      </c>
      <c r="B234" s="304">
        <v>271</v>
      </c>
      <c r="C234" s="305" t="s">
        <v>215</v>
      </c>
      <c r="D234" s="306" t="s">
        <v>216</v>
      </c>
      <c r="E234" s="305" t="s">
        <v>772</v>
      </c>
      <c r="F234" s="306" t="s">
        <v>78</v>
      </c>
      <c r="G234" s="306" t="s">
        <v>1938</v>
      </c>
      <c r="H234" s="306" t="s">
        <v>2132</v>
      </c>
      <c r="I234" s="306" t="s">
        <v>2133</v>
      </c>
      <c r="J234" s="304" t="s">
        <v>87</v>
      </c>
      <c r="K234" s="307">
        <v>43405</v>
      </c>
      <c r="L234" s="309">
        <v>45657</v>
      </c>
      <c r="M234" s="306" t="s">
        <v>99</v>
      </c>
      <c r="N234" s="304" t="s">
        <v>90</v>
      </c>
      <c r="O234" s="306" t="s">
        <v>51</v>
      </c>
      <c r="P234" s="304">
        <v>1</v>
      </c>
      <c r="Q234" s="304">
        <v>1</v>
      </c>
      <c r="R234" s="304">
        <v>1</v>
      </c>
      <c r="S234" s="308">
        <v>0</v>
      </c>
    </row>
    <row r="235" spans="1:19" ht="144">
      <c r="A235" s="303">
        <v>230</v>
      </c>
      <c r="B235" s="304">
        <v>272</v>
      </c>
      <c r="C235" s="305" t="s">
        <v>215</v>
      </c>
      <c r="D235" s="306" t="s">
        <v>216</v>
      </c>
      <c r="E235" s="305" t="s">
        <v>772</v>
      </c>
      <c r="F235" s="306" t="s">
        <v>78</v>
      </c>
      <c r="G235" s="306" t="s">
        <v>1938</v>
      </c>
      <c r="H235" s="306" t="s">
        <v>2134</v>
      </c>
      <c r="I235" s="306" t="s">
        <v>2135</v>
      </c>
      <c r="J235" s="304" t="s">
        <v>87</v>
      </c>
      <c r="K235" s="307">
        <v>43405</v>
      </c>
      <c r="L235" s="309">
        <v>45657</v>
      </c>
      <c r="M235" s="306" t="s">
        <v>89</v>
      </c>
      <c r="N235" s="304" t="s">
        <v>90</v>
      </c>
      <c r="O235" s="306" t="s">
        <v>51</v>
      </c>
      <c r="P235" s="304">
        <v>1</v>
      </c>
      <c r="Q235" s="304">
        <v>1</v>
      </c>
      <c r="R235" s="304">
        <v>1</v>
      </c>
      <c r="S235" s="308">
        <v>0</v>
      </c>
    </row>
    <row r="236" spans="1:19" ht="144">
      <c r="A236" s="303">
        <v>231</v>
      </c>
      <c r="B236" s="304">
        <v>273</v>
      </c>
      <c r="C236" s="305" t="s">
        <v>215</v>
      </c>
      <c r="D236" s="306" t="s">
        <v>216</v>
      </c>
      <c r="E236" s="305" t="s">
        <v>772</v>
      </c>
      <c r="F236" s="306" t="s">
        <v>78</v>
      </c>
      <c r="G236" s="306" t="s">
        <v>1938</v>
      </c>
      <c r="H236" s="306" t="s">
        <v>2136</v>
      </c>
      <c r="I236" s="306" t="s">
        <v>2137</v>
      </c>
      <c r="J236" s="304" t="s">
        <v>87</v>
      </c>
      <c r="K236" s="307">
        <v>43405</v>
      </c>
      <c r="L236" s="309">
        <v>45657</v>
      </c>
      <c r="M236" s="306" t="s">
        <v>98</v>
      </c>
      <c r="N236" s="304" t="s">
        <v>90</v>
      </c>
      <c r="O236" s="306" t="s">
        <v>51</v>
      </c>
      <c r="P236" s="304">
        <v>1</v>
      </c>
      <c r="Q236" s="304">
        <v>1</v>
      </c>
      <c r="R236" s="304">
        <v>1</v>
      </c>
      <c r="S236" s="308">
        <v>0</v>
      </c>
    </row>
    <row r="237" spans="1:19" ht="409.6">
      <c r="A237" s="303">
        <v>232</v>
      </c>
      <c r="B237" s="304">
        <v>274</v>
      </c>
      <c r="C237" s="305" t="s">
        <v>215</v>
      </c>
      <c r="D237" s="306" t="s">
        <v>216</v>
      </c>
      <c r="E237" s="305" t="s">
        <v>772</v>
      </c>
      <c r="F237" s="306" t="s">
        <v>78</v>
      </c>
      <c r="G237" s="306" t="s">
        <v>1938</v>
      </c>
      <c r="H237" s="306" t="s">
        <v>2138</v>
      </c>
      <c r="I237" s="306" t="s">
        <v>2139</v>
      </c>
      <c r="J237" s="304" t="s">
        <v>87</v>
      </c>
      <c r="K237" s="307">
        <v>43405</v>
      </c>
      <c r="L237" s="309">
        <v>45657</v>
      </c>
      <c r="M237" s="306" t="s">
        <v>209</v>
      </c>
      <c r="N237" s="304" t="s">
        <v>90</v>
      </c>
      <c r="O237" s="306" t="s">
        <v>51</v>
      </c>
      <c r="P237" s="304">
        <v>1</v>
      </c>
      <c r="Q237" s="304">
        <v>1</v>
      </c>
      <c r="R237" s="304">
        <v>1</v>
      </c>
      <c r="S237" s="308">
        <v>0</v>
      </c>
    </row>
    <row r="238" spans="1:19" ht="144">
      <c r="A238" s="303">
        <v>233</v>
      </c>
      <c r="B238" s="304">
        <v>275</v>
      </c>
      <c r="C238" s="305" t="s">
        <v>215</v>
      </c>
      <c r="D238" s="306" t="s">
        <v>216</v>
      </c>
      <c r="E238" s="305" t="s">
        <v>772</v>
      </c>
      <c r="F238" s="306" t="s">
        <v>78</v>
      </c>
      <c r="G238" s="306" t="s">
        <v>1938</v>
      </c>
      <c r="H238" s="306" t="s">
        <v>2140</v>
      </c>
      <c r="I238" s="306" t="s">
        <v>2141</v>
      </c>
      <c r="J238" s="304" t="s">
        <v>87</v>
      </c>
      <c r="K238" s="307">
        <v>43405</v>
      </c>
      <c r="L238" s="309">
        <v>45657</v>
      </c>
      <c r="M238" s="306" t="s">
        <v>209</v>
      </c>
      <c r="N238" s="304" t="s">
        <v>90</v>
      </c>
      <c r="O238" s="306" t="s">
        <v>51</v>
      </c>
      <c r="P238" s="304">
        <v>1</v>
      </c>
      <c r="Q238" s="304">
        <v>1</v>
      </c>
      <c r="R238" s="304">
        <v>1</v>
      </c>
      <c r="S238" s="308">
        <v>0</v>
      </c>
    </row>
    <row r="239" spans="1:19" ht="144">
      <c r="A239" s="303">
        <v>234</v>
      </c>
      <c r="B239" s="304">
        <v>276</v>
      </c>
      <c r="C239" s="305" t="s">
        <v>215</v>
      </c>
      <c r="D239" s="306" t="s">
        <v>216</v>
      </c>
      <c r="E239" s="305" t="s">
        <v>772</v>
      </c>
      <c r="F239" s="306" t="s">
        <v>78</v>
      </c>
      <c r="G239" s="306" t="s">
        <v>1938</v>
      </c>
      <c r="H239" s="306" t="s">
        <v>2142</v>
      </c>
      <c r="I239" s="306" t="s">
        <v>2143</v>
      </c>
      <c r="J239" s="304" t="s">
        <v>87</v>
      </c>
      <c r="K239" s="307">
        <v>43405</v>
      </c>
      <c r="L239" s="309">
        <v>45657</v>
      </c>
      <c r="M239" s="306" t="s">
        <v>209</v>
      </c>
      <c r="N239" s="304" t="s">
        <v>90</v>
      </c>
      <c r="O239" s="306" t="s">
        <v>51</v>
      </c>
      <c r="P239" s="304">
        <v>1</v>
      </c>
      <c r="Q239" s="304">
        <v>1</v>
      </c>
      <c r="R239" s="304">
        <v>1</v>
      </c>
      <c r="S239" s="308">
        <v>0</v>
      </c>
    </row>
    <row r="240" spans="1:19" ht="409.6">
      <c r="A240" s="303">
        <v>235</v>
      </c>
      <c r="B240" s="304">
        <v>277</v>
      </c>
      <c r="C240" s="305" t="s">
        <v>215</v>
      </c>
      <c r="D240" s="306" t="s">
        <v>216</v>
      </c>
      <c r="E240" s="305" t="s">
        <v>772</v>
      </c>
      <c r="F240" s="306" t="s">
        <v>78</v>
      </c>
      <c r="G240" s="306" t="s">
        <v>1938</v>
      </c>
      <c r="H240" s="306" t="s">
        <v>2144</v>
      </c>
      <c r="I240" s="306" t="s">
        <v>2145</v>
      </c>
      <c r="J240" s="304" t="s">
        <v>87</v>
      </c>
      <c r="K240" s="307">
        <v>43405</v>
      </c>
      <c r="L240" s="309">
        <v>44926</v>
      </c>
      <c r="M240" s="306" t="s">
        <v>209</v>
      </c>
      <c r="N240" s="304" t="s">
        <v>96</v>
      </c>
      <c r="O240" s="306" t="s">
        <v>71</v>
      </c>
      <c r="P240" s="304">
        <v>1</v>
      </c>
      <c r="Q240" s="304">
        <v>1</v>
      </c>
      <c r="R240" s="304">
        <v>1</v>
      </c>
      <c r="S240" s="308">
        <v>0</v>
      </c>
    </row>
    <row r="241" spans="1:19" ht="144">
      <c r="A241" s="303">
        <v>236</v>
      </c>
      <c r="B241" s="304">
        <v>278</v>
      </c>
      <c r="C241" s="305" t="s">
        <v>215</v>
      </c>
      <c r="D241" s="306" t="s">
        <v>216</v>
      </c>
      <c r="E241" s="305" t="s">
        <v>772</v>
      </c>
      <c r="F241" s="306" t="s">
        <v>78</v>
      </c>
      <c r="G241" s="306" t="s">
        <v>1938</v>
      </c>
      <c r="H241" s="306" t="s">
        <v>2146</v>
      </c>
      <c r="I241" s="306" t="s">
        <v>2147</v>
      </c>
      <c r="J241" s="304" t="s">
        <v>87</v>
      </c>
      <c r="K241" s="307">
        <v>43405</v>
      </c>
      <c r="L241" s="309">
        <v>45657</v>
      </c>
      <c r="M241" s="306" t="s">
        <v>98</v>
      </c>
      <c r="N241" s="304" t="s">
        <v>90</v>
      </c>
      <c r="O241" s="306" t="s">
        <v>71</v>
      </c>
      <c r="P241" s="304">
        <v>1</v>
      </c>
      <c r="Q241" s="304">
        <v>1</v>
      </c>
      <c r="R241" s="304">
        <v>1</v>
      </c>
      <c r="S241" s="308">
        <v>0</v>
      </c>
    </row>
    <row r="242" spans="1:19" ht="144">
      <c r="A242" s="303">
        <v>237</v>
      </c>
      <c r="B242" s="304">
        <v>279</v>
      </c>
      <c r="C242" s="305" t="s">
        <v>215</v>
      </c>
      <c r="D242" s="306" t="s">
        <v>216</v>
      </c>
      <c r="E242" s="305" t="s">
        <v>772</v>
      </c>
      <c r="F242" s="306" t="s">
        <v>78</v>
      </c>
      <c r="G242" s="306" t="s">
        <v>1938</v>
      </c>
      <c r="H242" s="306" t="s">
        <v>2148</v>
      </c>
      <c r="I242" s="306" t="s">
        <v>2149</v>
      </c>
      <c r="J242" s="304" t="s">
        <v>87</v>
      </c>
      <c r="K242" s="307">
        <v>43405</v>
      </c>
      <c r="L242" s="309">
        <v>45657</v>
      </c>
      <c r="M242" s="306" t="s">
        <v>205</v>
      </c>
      <c r="N242" s="304" t="s">
        <v>90</v>
      </c>
      <c r="O242" s="306" t="s">
        <v>71</v>
      </c>
      <c r="P242" s="304">
        <v>1</v>
      </c>
      <c r="Q242" s="304">
        <v>1</v>
      </c>
      <c r="R242" s="304">
        <v>1</v>
      </c>
      <c r="S242" s="308">
        <v>0</v>
      </c>
    </row>
    <row r="243" spans="1:19" ht="409.6">
      <c r="A243" s="303">
        <v>238</v>
      </c>
      <c r="B243" s="304">
        <v>280</v>
      </c>
      <c r="C243" s="305" t="s">
        <v>215</v>
      </c>
      <c r="D243" s="306" t="s">
        <v>216</v>
      </c>
      <c r="E243" s="305" t="s">
        <v>772</v>
      </c>
      <c r="F243" s="306" t="s">
        <v>78</v>
      </c>
      <c r="G243" s="306" t="s">
        <v>1938</v>
      </c>
      <c r="H243" s="306" t="s">
        <v>2150</v>
      </c>
      <c r="I243" s="306" t="s">
        <v>2151</v>
      </c>
      <c r="J243" s="304" t="s">
        <v>87</v>
      </c>
      <c r="K243" s="307">
        <v>43405</v>
      </c>
      <c r="L243" s="309">
        <v>45657</v>
      </c>
      <c r="M243" s="306" t="s">
        <v>209</v>
      </c>
      <c r="N243" s="304" t="s">
        <v>96</v>
      </c>
      <c r="O243" s="306" t="s">
        <v>51</v>
      </c>
      <c r="P243" s="304">
        <v>1</v>
      </c>
      <c r="Q243" s="304">
        <v>1</v>
      </c>
      <c r="R243" s="304">
        <v>1</v>
      </c>
      <c r="S243" s="308">
        <v>0</v>
      </c>
    </row>
    <row r="244" spans="1:19" ht="156">
      <c r="A244" s="303">
        <v>239</v>
      </c>
      <c r="B244" s="304">
        <v>281</v>
      </c>
      <c r="C244" s="305" t="s">
        <v>215</v>
      </c>
      <c r="D244" s="306" t="s">
        <v>216</v>
      </c>
      <c r="E244" s="305" t="s">
        <v>772</v>
      </c>
      <c r="F244" s="306" t="s">
        <v>78</v>
      </c>
      <c r="G244" s="306" t="s">
        <v>1938</v>
      </c>
      <c r="H244" s="306" t="s">
        <v>2152</v>
      </c>
      <c r="I244" s="306" t="s">
        <v>2153</v>
      </c>
      <c r="J244" s="304" t="s">
        <v>87</v>
      </c>
      <c r="K244" s="307">
        <v>43405</v>
      </c>
      <c r="L244" s="309">
        <v>45657</v>
      </c>
      <c r="M244" s="306" t="s">
        <v>209</v>
      </c>
      <c r="N244" s="304" t="s">
        <v>96</v>
      </c>
      <c r="O244" s="306" t="s">
        <v>51</v>
      </c>
      <c r="P244" s="304">
        <v>1</v>
      </c>
      <c r="Q244" s="304">
        <v>1</v>
      </c>
      <c r="R244" s="304">
        <v>1</v>
      </c>
      <c r="S244" s="308">
        <v>0</v>
      </c>
    </row>
    <row r="245" spans="1:19" ht="216">
      <c r="A245" s="303">
        <v>240</v>
      </c>
      <c r="B245" s="304">
        <v>282</v>
      </c>
      <c r="C245" s="305" t="s">
        <v>215</v>
      </c>
      <c r="D245" s="306" t="s">
        <v>216</v>
      </c>
      <c r="E245" s="305" t="s">
        <v>772</v>
      </c>
      <c r="F245" s="306" t="s">
        <v>78</v>
      </c>
      <c r="G245" s="306" t="s">
        <v>1938</v>
      </c>
      <c r="H245" s="306" t="s">
        <v>2154</v>
      </c>
      <c r="I245" s="306" t="s">
        <v>2155</v>
      </c>
      <c r="J245" s="304" t="s">
        <v>87</v>
      </c>
      <c r="K245" s="307">
        <v>43405</v>
      </c>
      <c r="L245" s="309">
        <v>45657</v>
      </c>
      <c r="M245" s="306" t="s">
        <v>205</v>
      </c>
      <c r="N245" s="304" t="s">
        <v>90</v>
      </c>
      <c r="O245" s="306" t="s">
        <v>71</v>
      </c>
      <c r="P245" s="304">
        <v>1</v>
      </c>
      <c r="Q245" s="304">
        <v>1</v>
      </c>
      <c r="R245" s="304">
        <v>1</v>
      </c>
      <c r="S245" s="308">
        <v>0</v>
      </c>
    </row>
    <row r="246" spans="1:19" ht="409.6">
      <c r="A246" s="303">
        <v>241</v>
      </c>
      <c r="B246" s="304">
        <v>283</v>
      </c>
      <c r="C246" s="305" t="s">
        <v>215</v>
      </c>
      <c r="D246" s="306" t="s">
        <v>216</v>
      </c>
      <c r="E246" s="305" t="s">
        <v>772</v>
      </c>
      <c r="F246" s="306" t="s">
        <v>78</v>
      </c>
      <c r="G246" s="306" t="s">
        <v>1938</v>
      </c>
      <c r="H246" s="306" t="s">
        <v>2156</v>
      </c>
      <c r="I246" s="306" t="s">
        <v>2157</v>
      </c>
      <c r="J246" s="304" t="s">
        <v>87</v>
      </c>
      <c r="K246" s="307">
        <v>43405</v>
      </c>
      <c r="L246" s="309">
        <v>45657</v>
      </c>
      <c r="M246" s="306" t="s">
        <v>209</v>
      </c>
      <c r="N246" s="304" t="s">
        <v>96</v>
      </c>
      <c r="O246" s="306" t="s">
        <v>51</v>
      </c>
      <c r="P246" s="304">
        <v>1</v>
      </c>
      <c r="Q246" s="304">
        <v>1</v>
      </c>
      <c r="R246" s="304">
        <v>1</v>
      </c>
      <c r="S246" s="308">
        <v>0</v>
      </c>
    </row>
    <row r="247" spans="1:19" ht="409.6">
      <c r="A247" s="303">
        <v>242</v>
      </c>
      <c r="B247" s="304">
        <v>284</v>
      </c>
      <c r="C247" s="305" t="s">
        <v>215</v>
      </c>
      <c r="D247" s="306" t="s">
        <v>216</v>
      </c>
      <c r="E247" s="305" t="s">
        <v>772</v>
      </c>
      <c r="F247" s="306" t="s">
        <v>78</v>
      </c>
      <c r="G247" s="306" t="s">
        <v>1938</v>
      </c>
      <c r="H247" s="306" t="s">
        <v>2158</v>
      </c>
      <c r="I247" s="306" t="s">
        <v>2159</v>
      </c>
      <c r="J247" s="304" t="s">
        <v>87</v>
      </c>
      <c r="K247" s="307">
        <v>43405</v>
      </c>
      <c r="L247" s="309">
        <v>45657</v>
      </c>
      <c r="M247" s="306" t="s">
        <v>344</v>
      </c>
      <c r="N247" s="304" t="s">
        <v>90</v>
      </c>
      <c r="O247" s="306" t="s">
        <v>51</v>
      </c>
      <c r="P247" s="304">
        <v>1</v>
      </c>
      <c r="Q247" s="304">
        <v>1</v>
      </c>
      <c r="R247" s="304">
        <v>1</v>
      </c>
      <c r="S247" s="308">
        <v>0</v>
      </c>
    </row>
    <row r="248" spans="1:19" ht="273">
      <c r="A248" s="303">
        <v>243</v>
      </c>
      <c r="B248" s="304">
        <v>285</v>
      </c>
      <c r="C248" s="305" t="s">
        <v>215</v>
      </c>
      <c r="D248" s="306" t="s">
        <v>216</v>
      </c>
      <c r="E248" s="305" t="s">
        <v>772</v>
      </c>
      <c r="F248" s="306" t="s">
        <v>78</v>
      </c>
      <c r="G248" s="306" t="s">
        <v>1938</v>
      </c>
      <c r="H248" s="306" t="s">
        <v>2160</v>
      </c>
      <c r="I248" s="306" t="s">
        <v>2161</v>
      </c>
      <c r="J248" s="304" t="s">
        <v>87</v>
      </c>
      <c r="K248" s="307">
        <v>43405</v>
      </c>
      <c r="L248" s="309">
        <v>45657</v>
      </c>
      <c r="M248" s="306" t="s">
        <v>89</v>
      </c>
      <c r="N248" s="304" t="s">
        <v>90</v>
      </c>
      <c r="O248" s="306" t="s">
        <v>51</v>
      </c>
      <c r="P248" s="304">
        <v>1</v>
      </c>
      <c r="Q248" s="304">
        <v>1</v>
      </c>
      <c r="R248" s="304">
        <v>1</v>
      </c>
      <c r="S248" s="308">
        <v>0</v>
      </c>
    </row>
    <row r="249" spans="1:19" ht="240">
      <c r="A249" s="303">
        <v>244</v>
      </c>
      <c r="B249" s="304">
        <v>286</v>
      </c>
      <c r="C249" s="305" t="s">
        <v>215</v>
      </c>
      <c r="D249" s="306" t="s">
        <v>216</v>
      </c>
      <c r="E249" s="305" t="s">
        <v>772</v>
      </c>
      <c r="F249" s="306" t="s">
        <v>78</v>
      </c>
      <c r="G249" s="306" t="s">
        <v>1938</v>
      </c>
      <c r="H249" s="306" t="s">
        <v>2162</v>
      </c>
      <c r="I249" s="306" t="s">
        <v>2163</v>
      </c>
      <c r="J249" s="304" t="s">
        <v>87</v>
      </c>
      <c r="K249" s="307">
        <v>43405</v>
      </c>
      <c r="L249" s="309">
        <v>45657</v>
      </c>
      <c r="M249" s="306" t="s">
        <v>89</v>
      </c>
      <c r="N249" s="304" t="s">
        <v>90</v>
      </c>
      <c r="O249" s="306" t="s">
        <v>51</v>
      </c>
      <c r="P249" s="304">
        <v>1</v>
      </c>
      <c r="Q249" s="304">
        <v>1</v>
      </c>
      <c r="R249" s="304">
        <v>1</v>
      </c>
      <c r="S249" s="308">
        <v>0</v>
      </c>
    </row>
    <row r="250" spans="1:19" ht="156">
      <c r="A250" s="303">
        <v>245</v>
      </c>
      <c r="B250" s="304">
        <v>287</v>
      </c>
      <c r="C250" s="305" t="s">
        <v>215</v>
      </c>
      <c r="D250" s="306" t="s">
        <v>216</v>
      </c>
      <c r="E250" s="305" t="s">
        <v>772</v>
      </c>
      <c r="F250" s="306" t="s">
        <v>78</v>
      </c>
      <c r="G250" s="306" t="s">
        <v>1938</v>
      </c>
      <c r="H250" s="306" t="s">
        <v>2164</v>
      </c>
      <c r="I250" s="306" t="s">
        <v>2165</v>
      </c>
      <c r="J250" s="304" t="s">
        <v>87</v>
      </c>
      <c r="K250" s="307">
        <v>43405</v>
      </c>
      <c r="L250" s="309">
        <v>45657</v>
      </c>
      <c r="M250" s="306" t="s">
        <v>209</v>
      </c>
      <c r="N250" s="304" t="s">
        <v>90</v>
      </c>
      <c r="O250" s="306" t="s">
        <v>51</v>
      </c>
      <c r="P250" s="304">
        <v>1</v>
      </c>
      <c r="Q250" s="304">
        <v>1</v>
      </c>
      <c r="R250" s="304">
        <v>1</v>
      </c>
      <c r="S250" s="308">
        <v>0</v>
      </c>
    </row>
    <row r="251" spans="1:19" ht="144">
      <c r="A251" s="303">
        <v>246</v>
      </c>
      <c r="B251" s="304">
        <v>288</v>
      </c>
      <c r="C251" s="305" t="s">
        <v>215</v>
      </c>
      <c r="D251" s="306" t="s">
        <v>216</v>
      </c>
      <c r="E251" s="305" t="s">
        <v>772</v>
      </c>
      <c r="F251" s="306" t="s">
        <v>78</v>
      </c>
      <c r="G251" s="306" t="s">
        <v>1938</v>
      </c>
      <c r="H251" s="306" t="s">
        <v>2166</v>
      </c>
      <c r="I251" s="306" t="s">
        <v>2167</v>
      </c>
      <c r="J251" s="304" t="s">
        <v>87</v>
      </c>
      <c r="K251" s="307">
        <v>43405</v>
      </c>
      <c r="L251" s="309">
        <v>45657</v>
      </c>
      <c r="M251" s="306" t="s">
        <v>209</v>
      </c>
      <c r="N251" s="304" t="s">
        <v>90</v>
      </c>
      <c r="O251" s="306" t="s">
        <v>51</v>
      </c>
      <c r="P251" s="304">
        <v>1</v>
      </c>
      <c r="Q251" s="304">
        <v>1</v>
      </c>
      <c r="R251" s="304">
        <v>1</v>
      </c>
      <c r="S251" s="308">
        <v>0</v>
      </c>
    </row>
    <row r="252" spans="1:19" ht="168">
      <c r="A252" s="303">
        <v>247</v>
      </c>
      <c r="B252" s="304">
        <v>289</v>
      </c>
      <c r="C252" s="305" t="s">
        <v>215</v>
      </c>
      <c r="D252" s="306" t="s">
        <v>216</v>
      </c>
      <c r="E252" s="305" t="s">
        <v>772</v>
      </c>
      <c r="F252" s="306" t="s">
        <v>78</v>
      </c>
      <c r="G252" s="306" t="s">
        <v>1938</v>
      </c>
      <c r="H252" s="306" t="s">
        <v>2168</v>
      </c>
      <c r="I252" s="306" t="s">
        <v>2169</v>
      </c>
      <c r="J252" s="304" t="s">
        <v>87</v>
      </c>
      <c r="K252" s="307">
        <v>43405</v>
      </c>
      <c r="L252" s="309">
        <v>45657</v>
      </c>
      <c r="M252" s="306" t="s">
        <v>209</v>
      </c>
      <c r="N252" s="304" t="s">
        <v>96</v>
      </c>
      <c r="O252" s="306" t="s">
        <v>51</v>
      </c>
      <c r="P252" s="304">
        <v>1</v>
      </c>
      <c r="Q252" s="304">
        <v>1</v>
      </c>
      <c r="R252" s="304">
        <v>1</v>
      </c>
      <c r="S252" s="308">
        <v>0</v>
      </c>
    </row>
    <row r="253" spans="1:19" ht="144">
      <c r="A253" s="303">
        <v>248</v>
      </c>
      <c r="B253" s="304">
        <v>290</v>
      </c>
      <c r="C253" s="305" t="s">
        <v>215</v>
      </c>
      <c r="D253" s="306" t="s">
        <v>216</v>
      </c>
      <c r="E253" s="305" t="s">
        <v>772</v>
      </c>
      <c r="F253" s="306" t="s">
        <v>78</v>
      </c>
      <c r="G253" s="306" t="s">
        <v>1938</v>
      </c>
      <c r="H253" s="306" t="s">
        <v>2170</v>
      </c>
      <c r="I253" s="306" t="s">
        <v>2171</v>
      </c>
      <c r="J253" s="304" t="s">
        <v>87</v>
      </c>
      <c r="K253" s="307">
        <v>43405</v>
      </c>
      <c r="L253" s="309">
        <v>45657</v>
      </c>
      <c r="M253" s="306" t="s">
        <v>98</v>
      </c>
      <c r="N253" s="304" t="s">
        <v>90</v>
      </c>
      <c r="O253" s="306" t="s">
        <v>51</v>
      </c>
      <c r="P253" s="304">
        <v>1</v>
      </c>
      <c r="Q253" s="304">
        <v>1</v>
      </c>
      <c r="R253" s="304">
        <v>1</v>
      </c>
      <c r="S253" s="308">
        <v>0</v>
      </c>
    </row>
    <row r="254" spans="1:19" ht="144">
      <c r="A254" s="303">
        <v>249</v>
      </c>
      <c r="B254" s="304">
        <v>291</v>
      </c>
      <c r="C254" s="305" t="s">
        <v>215</v>
      </c>
      <c r="D254" s="306" t="s">
        <v>216</v>
      </c>
      <c r="E254" s="305" t="s">
        <v>772</v>
      </c>
      <c r="F254" s="306" t="s">
        <v>78</v>
      </c>
      <c r="G254" s="306" t="s">
        <v>1938</v>
      </c>
      <c r="H254" s="306" t="s">
        <v>2172</v>
      </c>
      <c r="I254" s="306" t="s">
        <v>2173</v>
      </c>
      <c r="J254" s="304" t="s">
        <v>87</v>
      </c>
      <c r="K254" s="307">
        <v>43405</v>
      </c>
      <c r="L254" s="309">
        <v>45657</v>
      </c>
      <c r="M254" s="306" t="s">
        <v>98</v>
      </c>
      <c r="N254" s="304" t="s">
        <v>96</v>
      </c>
      <c r="O254" s="306" t="s">
        <v>51</v>
      </c>
      <c r="P254" s="304">
        <v>1</v>
      </c>
      <c r="Q254" s="304">
        <v>1</v>
      </c>
      <c r="R254" s="304">
        <v>1</v>
      </c>
      <c r="S254" s="308">
        <v>0</v>
      </c>
    </row>
    <row r="255" spans="1:19" ht="240">
      <c r="A255" s="303">
        <v>250</v>
      </c>
      <c r="B255" s="304">
        <v>292</v>
      </c>
      <c r="C255" s="305" t="s">
        <v>215</v>
      </c>
      <c r="D255" s="306" t="s">
        <v>216</v>
      </c>
      <c r="E255" s="305" t="s">
        <v>772</v>
      </c>
      <c r="F255" s="306" t="s">
        <v>78</v>
      </c>
      <c r="G255" s="306" t="s">
        <v>1938</v>
      </c>
      <c r="H255" s="306" t="s">
        <v>2174</v>
      </c>
      <c r="I255" s="306" t="s">
        <v>2175</v>
      </c>
      <c r="J255" s="304" t="s">
        <v>87</v>
      </c>
      <c r="K255" s="307">
        <v>43405</v>
      </c>
      <c r="L255" s="309">
        <v>45657</v>
      </c>
      <c r="M255" s="306" t="s">
        <v>89</v>
      </c>
      <c r="N255" s="304" t="s">
        <v>90</v>
      </c>
      <c r="O255" s="306" t="s">
        <v>71</v>
      </c>
      <c r="P255" s="304">
        <v>1</v>
      </c>
      <c r="Q255" s="304">
        <v>1</v>
      </c>
      <c r="R255" s="304">
        <v>1</v>
      </c>
      <c r="S255" s="308">
        <v>0</v>
      </c>
    </row>
    <row r="256" spans="1:19" ht="361">
      <c r="A256" s="303">
        <v>251</v>
      </c>
      <c r="B256" s="304">
        <v>293</v>
      </c>
      <c r="C256" s="305" t="s">
        <v>215</v>
      </c>
      <c r="D256" s="306" t="s">
        <v>216</v>
      </c>
      <c r="E256" s="305" t="s">
        <v>772</v>
      </c>
      <c r="F256" s="306" t="s">
        <v>78</v>
      </c>
      <c r="G256" s="306" t="s">
        <v>1938</v>
      </c>
      <c r="H256" s="306" t="s">
        <v>2176</v>
      </c>
      <c r="I256" s="306" t="s">
        <v>2177</v>
      </c>
      <c r="J256" s="304" t="s">
        <v>87</v>
      </c>
      <c r="K256" s="307">
        <v>43405</v>
      </c>
      <c r="L256" s="307">
        <v>43646</v>
      </c>
      <c r="M256" s="306" t="s">
        <v>89</v>
      </c>
      <c r="N256" s="304" t="s">
        <v>90</v>
      </c>
      <c r="O256" s="306" t="s">
        <v>71</v>
      </c>
      <c r="P256" s="304">
        <v>1</v>
      </c>
      <c r="Q256" s="304">
        <v>1</v>
      </c>
      <c r="R256" s="304">
        <v>1</v>
      </c>
      <c r="S256" s="308">
        <v>0</v>
      </c>
    </row>
    <row r="257" spans="1:19" ht="409.6">
      <c r="A257" s="303">
        <v>252</v>
      </c>
      <c r="B257" s="304">
        <v>294</v>
      </c>
      <c r="C257" s="305" t="s">
        <v>215</v>
      </c>
      <c r="D257" s="306" t="s">
        <v>216</v>
      </c>
      <c r="E257" s="305" t="s">
        <v>772</v>
      </c>
      <c r="F257" s="306" t="s">
        <v>78</v>
      </c>
      <c r="G257" s="306" t="s">
        <v>1938</v>
      </c>
      <c r="H257" s="306" t="s">
        <v>2180</v>
      </c>
      <c r="I257" s="306" t="s">
        <v>2181</v>
      </c>
      <c r="J257" s="304" t="s">
        <v>87</v>
      </c>
      <c r="K257" s="307">
        <v>43405</v>
      </c>
      <c r="L257" s="309">
        <v>44561</v>
      </c>
      <c r="M257" s="306" t="s">
        <v>209</v>
      </c>
      <c r="N257" s="304" t="s">
        <v>96</v>
      </c>
      <c r="O257" s="306" t="s">
        <v>51</v>
      </c>
      <c r="P257" s="304">
        <v>1</v>
      </c>
      <c r="Q257" s="304">
        <v>1</v>
      </c>
      <c r="R257" s="304">
        <v>1</v>
      </c>
      <c r="S257" s="308">
        <v>0</v>
      </c>
    </row>
    <row r="258" spans="1:19" ht="409.6">
      <c r="A258" s="303">
        <v>253</v>
      </c>
      <c r="B258" s="304">
        <v>295</v>
      </c>
      <c r="C258" s="305" t="s">
        <v>215</v>
      </c>
      <c r="D258" s="306" t="s">
        <v>216</v>
      </c>
      <c r="E258" s="305" t="s">
        <v>772</v>
      </c>
      <c r="F258" s="306" t="s">
        <v>78</v>
      </c>
      <c r="G258" s="306" t="s">
        <v>1938</v>
      </c>
      <c r="H258" s="306" t="s">
        <v>2182</v>
      </c>
      <c r="I258" s="306" t="s">
        <v>2183</v>
      </c>
      <c r="J258" s="304" t="s">
        <v>87</v>
      </c>
      <c r="K258" s="307">
        <v>43405</v>
      </c>
      <c r="L258" s="309">
        <v>44561</v>
      </c>
      <c r="M258" s="306" t="s">
        <v>89</v>
      </c>
      <c r="N258" s="304" t="s">
        <v>90</v>
      </c>
      <c r="O258" s="306" t="s">
        <v>51</v>
      </c>
      <c r="P258" s="304">
        <v>1</v>
      </c>
      <c r="Q258" s="304">
        <v>1</v>
      </c>
      <c r="R258" s="304">
        <v>1</v>
      </c>
      <c r="S258" s="308">
        <v>0</v>
      </c>
    </row>
    <row r="259" spans="1:19" ht="144">
      <c r="A259" s="303">
        <v>254</v>
      </c>
      <c r="B259" s="304">
        <v>296</v>
      </c>
      <c r="C259" s="305" t="s">
        <v>215</v>
      </c>
      <c r="D259" s="306" t="s">
        <v>216</v>
      </c>
      <c r="E259" s="305" t="s">
        <v>772</v>
      </c>
      <c r="F259" s="306" t="s">
        <v>78</v>
      </c>
      <c r="G259" s="306" t="s">
        <v>1938</v>
      </c>
      <c r="H259" s="306" t="s">
        <v>2184</v>
      </c>
      <c r="I259" s="306" t="s">
        <v>2185</v>
      </c>
      <c r="J259" s="304" t="s">
        <v>87</v>
      </c>
      <c r="K259" s="307">
        <v>43405</v>
      </c>
      <c r="L259" s="309">
        <v>44561</v>
      </c>
      <c r="M259" s="306" t="s">
        <v>209</v>
      </c>
      <c r="N259" s="304" t="s">
        <v>96</v>
      </c>
      <c r="O259" s="306" t="s">
        <v>51</v>
      </c>
      <c r="P259" s="304">
        <v>1</v>
      </c>
      <c r="Q259" s="304">
        <v>1</v>
      </c>
      <c r="R259" s="304">
        <v>1</v>
      </c>
      <c r="S259" s="308">
        <v>0</v>
      </c>
    </row>
    <row r="260" spans="1:19" ht="383">
      <c r="A260" s="303">
        <v>255</v>
      </c>
      <c r="B260" s="304">
        <v>297</v>
      </c>
      <c r="C260" s="305" t="s">
        <v>215</v>
      </c>
      <c r="D260" s="306" t="s">
        <v>216</v>
      </c>
      <c r="E260" s="305" t="s">
        <v>772</v>
      </c>
      <c r="F260" s="306" t="s">
        <v>78</v>
      </c>
      <c r="G260" s="306" t="s">
        <v>1938</v>
      </c>
      <c r="H260" s="306" t="s">
        <v>2186</v>
      </c>
      <c r="I260" s="306" t="s">
        <v>2187</v>
      </c>
      <c r="J260" s="304" t="s">
        <v>87</v>
      </c>
      <c r="K260" s="307">
        <v>43405</v>
      </c>
      <c r="L260" s="309">
        <v>44561</v>
      </c>
      <c r="M260" s="306" t="s">
        <v>209</v>
      </c>
      <c r="N260" s="304" t="s">
        <v>96</v>
      </c>
      <c r="O260" s="306" t="s">
        <v>51</v>
      </c>
      <c r="P260" s="304">
        <v>1</v>
      </c>
      <c r="Q260" s="304">
        <v>1</v>
      </c>
      <c r="R260" s="304">
        <v>1</v>
      </c>
      <c r="S260" s="308">
        <v>0</v>
      </c>
    </row>
    <row r="261" spans="1:19" ht="409.6">
      <c r="A261" s="303">
        <v>256</v>
      </c>
      <c r="B261" s="304">
        <v>298</v>
      </c>
      <c r="C261" s="305" t="s">
        <v>215</v>
      </c>
      <c r="D261" s="306" t="s">
        <v>216</v>
      </c>
      <c r="E261" s="305" t="s">
        <v>772</v>
      </c>
      <c r="F261" s="306" t="s">
        <v>78</v>
      </c>
      <c r="G261" s="306" t="s">
        <v>1938</v>
      </c>
      <c r="H261" s="306" t="s">
        <v>2188</v>
      </c>
      <c r="I261" s="306" t="s">
        <v>2189</v>
      </c>
      <c r="J261" s="304" t="s">
        <v>87</v>
      </c>
      <c r="K261" s="307">
        <v>43405</v>
      </c>
      <c r="L261" s="309">
        <v>44561</v>
      </c>
      <c r="M261" s="306" t="s">
        <v>209</v>
      </c>
      <c r="N261" s="304" t="s">
        <v>96</v>
      </c>
      <c r="O261" s="306" t="s">
        <v>51</v>
      </c>
      <c r="P261" s="304">
        <v>1</v>
      </c>
      <c r="Q261" s="304">
        <v>1</v>
      </c>
      <c r="R261" s="304">
        <v>1</v>
      </c>
      <c r="S261" s="308">
        <v>0</v>
      </c>
    </row>
    <row r="262" spans="1:19" ht="409.6">
      <c r="A262" s="303">
        <v>257</v>
      </c>
      <c r="B262" s="304">
        <v>299</v>
      </c>
      <c r="C262" s="305" t="s">
        <v>215</v>
      </c>
      <c r="D262" s="306" t="s">
        <v>216</v>
      </c>
      <c r="E262" s="305" t="s">
        <v>772</v>
      </c>
      <c r="F262" s="306" t="s">
        <v>78</v>
      </c>
      <c r="G262" s="306" t="s">
        <v>1938</v>
      </c>
      <c r="H262" s="306" t="s">
        <v>2190</v>
      </c>
      <c r="I262" s="306" t="s">
        <v>2191</v>
      </c>
      <c r="J262" s="304" t="s">
        <v>87</v>
      </c>
      <c r="K262" s="307">
        <v>43405</v>
      </c>
      <c r="L262" s="309">
        <v>44561</v>
      </c>
      <c r="M262" s="306" t="s">
        <v>209</v>
      </c>
      <c r="N262" s="304" t="s">
        <v>90</v>
      </c>
      <c r="O262" s="306" t="s">
        <v>51</v>
      </c>
      <c r="P262" s="304">
        <v>1</v>
      </c>
      <c r="Q262" s="304">
        <v>1</v>
      </c>
      <c r="R262" s="304">
        <v>1</v>
      </c>
      <c r="S262" s="308">
        <v>0</v>
      </c>
    </row>
    <row r="263" spans="1:19" ht="144">
      <c r="A263" s="303">
        <v>258</v>
      </c>
      <c r="B263" s="304">
        <v>300</v>
      </c>
      <c r="C263" s="305" t="s">
        <v>215</v>
      </c>
      <c r="D263" s="306" t="s">
        <v>216</v>
      </c>
      <c r="E263" s="305" t="s">
        <v>772</v>
      </c>
      <c r="F263" s="306" t="s">
        <v>78</v>
      </c>
      <c r="G263" s="306" t="s">
        <v>1938</v>
      </c>
      <c r="H263" s="306" t="s">
        <v>2192</v>
      </c>
      <c r="I263" s="306" t="s">
        <v>2193</v>
      </c>
      <c r="J263" s="304" t="s">
        <v>87</v>
      </c>
      <c r="K263" s="307">
        <v>43405</v>
      </c>
      <c r="L263" s="309">
        <v>44561</v>
      </c>
      <c r="M263" s="306" t="s">
        <v>209</v>
      </c>
      <c r="N263" s="304" t="s">
        <v>96</v>
      </c>
      <c r="O263" s="306" t="s">
        <v>51</v>
      </c>
      <c r="P263" s="304">
        <v>1</v>
      </c>
      <c r="Q263" s="304">
        <v>1</v>
      </c>
      <c r="R263" s="304">
        <v>1</v>
      </c>
      <c r="S263" s="308">
        <v>0</v>
      </c>
    </row>
    <row r="264" spans="1:19" ht="228">
      <c r="A264" s="303">
        <v>259</v>
      </c>
      <c r="B264" s="304">
        <v>301</v>
      </c>
      <c r="C264" s="305" t="s">
        <v>215</v>
      </c>
      <c r="D264" s="306" t="s">
        <v>216</v>
      </c>
      <c r="E264" s="305" t="s">
        <v>772</v>
      </c>
      <c r="F264" s="306" t="s">
        <v>78</v>
      </c>
      <c r="G264" s="306" t="s">
        <v>1938</v>
      </c>
      <c r="H264" s="306" t="s">
        <v>2200</v>
      </c>
      <c r="I264" s="306" t="s">
        <v>2201</v>
      </c>
      <c r="J264" s="304" t="s">
        <v>87</v>
      </c>
      <c r="K264" s="307">
        <v>43405</v>
      </c>
      <c r="L264" s="309">
        <v>45657</v>
      </c>
      <c r="M264" s="306" t="s">
        <v>209</v>
      </c>
      <c r="N264" s="304" t="s">
        <v>90</v>
      </c>
      <c r="O264" s="306" t="s">
        <v>51</v>
      </c>
      <c r="P264" s="304">
        <v>1</v>
      </c>
      <c r="Q264" s="304">
        <v>1</v>
      </c>
      <c r="R264" s="304">
        <v>1</v>
      </c>
      <c r="S264" s="308">
        <v>0</v>
      </c>
    </row>
    <row r="265" spans="1:19" ht="144">
      <c r="A265" s="303">
        <v>260</v>
      </c>
      <c r="B265" s="304">
        <v>302</v>
      </c>
      <c r="C265" s="305" t="s">
        <v>215</v>
      </c>
      <c r="D265" s="306" t="s">
        <v>216</v>
      </c>
      <c r="E265" s="305" t="s">
        <v>772</v>
      </c>
      <c r="F265" s="306" t="s">
        <v>78</v>
      </c>
      <c r="G265" s="306" t="s">
        <v>1938</v>
      </c>
      <c r="H265" s="306" t="s">
        <v>2202</v>
      </c>
      <c r="I265" s="306" t="s">
        <v>2202</v>
      </c>
      <c r="J265" s="304" t="s">
        <v>87</v>
      </c>
      <c r="K265" s="307">
        <v>43405</v>
      </c>
      <c r="L265" s="309">
        <v>45657</v>
      </c>
      <c r="M265" s="306" t="s">
        <v>209</v>
      </c>
      <c r="N265" s="304" t="s">
        <v>90</v>
      </c>
      <c r="O265" s="306" t="s">
        <v>51</v>
      </c>
      <c r="P265" s="304">
        <v>1</v>
      </c>
      <c r="Q265" s="304">
        <v>1</v>
      </c>
      <c r="R265" s="304">
        <v>1</v>
      </c>
      <c r="S265" s="308">
        <v>0</v>
      </c>
    </row>
    <row r="266" spans="1:19" ht="156">
      <c r="A266" s="303">
        <v>261</v>
      </c>
      <c r="B266" s="304">
        <v>303</v>
      </c>
      <c r="C266" s="305" t="s">
        <v>215</v>
      </c>
      <c r="D266" s="306" t="s">
        <v>216</v>
      </c>
      <c r="E266" s="305" t="s">
        <v>772</v>
      </c>
      <c r="F266" s="306" t="s">
        <v>78</v>
      </c>
      <c r="G266" s="306" t="s">
        <v>1938</v>
      </c>
      <c r="H266" s="306" t="s">
        <v>2207</v>
      </c>
      <c r="I266" s="306" t="s">
        <v>2208</v>
      </c>
      <c r="J266" s="304" t="s">
        <v>87</v>
      </c>
      <c r="K266" s="307">
        <v>43405</v>
      </c>
      <c r="L266" s="309">
        <v>44561</v>
      </c>
      <c r="M266" s="306" t="s">
        <v>209</v>
      </c>
      <c r="N266" s="304" t="s">
        <v>96</v>
      </c>
      <c r="O266" s="306" t="s">
        <v>51</v>
      </c>
      <c r="P266" s="304">
        <v>1</v>
      </c>
      <c r="Q266" s="304">
        <v>1</v>
      </c>
      <c r="R266" s="304">
        <v>1</v>
      </c>
      <c r="S266" s="308">
        <v>0</v>
      </c>
    </row>
    <row r="267" spans="1:19" ht="144">
      <c r="A267" s="303">
        <v>262</v>
      </c>
      <c r="B267" s="304">
        <v>304</v>
      </c>
      <c r="C267" s="305" t="s">
        <v>215</v>
      </c>
      <c r="D267" s="306" t="s">
        <v>216</v>
      </c>
      <c r="E267" s="305" t="s">
        <v>772</v>
      </c>
      <c r="F267" s="306" t="s">
        <v>78</v>
      </c>
      <c r="G267" s="306" t="s">
        <v>1938</v>
      </c>
      <c r="H267" s="306" t="s">
        <v>2217</v>
      </c>
      <c r="I267" s="306" t="s">
        <v>2218</v>
      </c>
      <c r="J267" s="304" t="s">
        <v>87</v>
      </c>
      <c r="K267" s="307">
        <v>43405</v>
      </c>
      <c r="L267" s="309">
        <v>45657</v>
      </c>
      <c r="M267" s="306" t="s">
        <v>209</v>
      </c>
      <c r="N267" s="304" t="s">
        <v>90</v>
      </c>
      <c r="O267" s="306" t="s">
        <v>51</v>
      </c>
      <c r="P267" s="304">
        <v>1</v>
      </c>
      <c r="Q267" s="304">
        <v>1</v>
      </c>
      <c r="R267" s="304">
        <v>1</v>
      </c>
      <c r="S267" s="308">
        <v>0</v>
      </c>
    </row>
    <row r="268" spans="1:19" ht="361">
      <c r="A268" s="303">
        <v>263</v>
      </c>
      <c r="B268" s="304">
        <v>305</v>
      </c>
      <c r="C268" s="305" t="s">
        <v>215</v>
      </c>
      <c r="D268" s="306" t="s">
        <v>216</v>
      </c>
      <c r="E268" s="305" t="s">
        <v>772</v>
      </c>
      <c r="F268" s="306" t="s">
        <v>78</v>
      </c>
      <c r="G268" s="306" t="s">
        <v>1938</v>
      </c>
      <c r="H268" s="306" t="s">
        <v>2227</v>
      </c>
      <c r="I268" s="306" t="s">
        <v>2228</v>
      </c>
      <c r="J268" s="304" t="s">
        <v>87</v>
      </c>
      <c r="K268" s="307">
        <v>43405</v>
      </c>
      <c r="L268" s="309">
        <v>44561</v>
      </c>
      <c r="M268" s="306" t="s">
        <v>99</v>
      </c>
      <c r="N268" s="304" t="s">
        <v>96</v>
      </c>
      <c r="O268" s="306" t="s">
        <v>51</v>
      </c>
      <c r="P268" s="304">
        <v>1</v>
      </c>
      <c r="Q268" s="304">
        <v>1</v>
      </c>
      <c r="R268" s="304">
        <v>1</v>
      </c>
      <c r="S268" s="308">
        <v>0</v>
      </c>
    </row>
    <row r="269" spans="1:19" ht="409.6">
      <c r="A269" s="303">
        <v>264</v>
      </c>
      <c r="B269" s="304">
        <v>306</v>
      </c>
      <c r="C269" s="305" t="s">
        <v>215</v>
      </c>
      <c r="D269" s="306" t="s">
        <v>216</v>
      </c>
      <c r="E269" s="305" t="s">
        <v>772</v>
      </c>
      <c r="F269" s="306" t="s">
        <v>78</v>
      </c>
      <c r="G269" s="306" t="s">
        <v>1938</v>
      </c>
      <c r="H269" s="306" t="s">
        <v>2229</v>
      </c>
      <c r="I269" s="306" t="s">
        <v>2230</v>
      </c>
      <c r="J269" s="304" t="s">
        <v>87</v>
      </c>
      <c r="K269" s="307">
        <v>43405</v>
      </c>
      <c r="L269" s="309">
        <v>44561</v>
      </c>
      <c r="M269" s="306" t="s">
        <v>209</v>
      </c>
      <c r="N269" s="304" t="s">
        <v>96</v>
      </c>
      <c r="O269" s="306" t="s">
        <v>51</v>
      </c>
      <c r="P269" s="304">
        <v>1</v>
      </c>
      <c r="Q269" s="304">
        <v>1</v>
      </c>
      <c r="R269" s="304">
        <v>1</v>
      </c>
      <c r="S269" s="308">
        <v>0</v>
      </c>
    </row>
    <row r="270" spans="1:19" ht="204">
      <c r="A270" s="303">
        <v>265</v>
      </c>
      <c r="B270" s="304">
        <v>307</v>
      </c>
      <c r="C270" s="305" t="s">
        <v>215</v>
      </c>
      <c r="D270" s="306" t="s">
        <v>216</v>
      </c>
      <c r="E270" s="305" t="s">
        <v>772</v>
      </c>
      <c r="F270" s="306" t="s">
        <v>78</v>
      </c>
      <c r="G270" s="306" t="s">
        <v>1938</v>
      </c>
      <c r="H270" s="306" t="s">
        <v>2231</v>
      </c>
      <c r="I270" s="306" t="s">
        <v>2232</v>
      </c>
      <c r="J270" s="304" t="s">
        <v>87</v>
      </c>
      <c r="K270" s="307">
        <v>43405</v>
      </c>
      <c r="L270" s="309">
        <v>43830</v>
      </c>
      <c r="M270" s="306" t="s">
        <v>209</v>
      </c>
      <c r="N270" s="304" t="s">
        <v>90</v>
      </c>
      <c r="O270" s="306" t="s">
        <v>71</v>
      </c>
      <c r="P270" s="304">
        <v>1</v>
      </c>
      <c r="Q270" s="304">
        <v>1</v>
      </c>
      <c r="R270" s="304">
        <v>1</v>
      </c>
      <c r="S270" s="308">
        <v>0</v>
      </c>
    </row>
    <row r="271" spans="1:19" ht="144">
      <c r="A271" s="303">
        <v>266</v>
      </c>
      <c r="B271" s="304">
        <v>308</v>
      </c>
      <c r="C271" s="305" t="s">
        <v>215</v>
      </c>
      <c r="D271" s="306" t="s">
        <v>216</v>
      </c>
      <c r="E271" s="305" t="s">
        <v>772</v>
      </c>
      <c r="F271" s="306" t="s">
        <v>78</v>
      </c>
      <c r="G271" s="306" t="s">
        <v>1938</v>
      </c>
      <c r="H271" s="306" t="s">
        <v>2233</v>
      </c>
      <c r="I271" s="306"/>
      <c r="J271" s="304" t="s">
        <v>97</v>
      </c>
      <c r="K271" s="307">
        <v>43405</v>
      </c>
      <c r="L271" s="309">
        <v>44561</v>
      </c>
      <c r="M271" s="306" t="s">
        <v>205</v>
      </c>
      <c r="N271" s="304" t="s">
        <v>96</v>
      </c>
      <c r="O271" s="306" t="s">
        <v>51</v>
      </c>
      <c r="P271" s="304">
        <v>1</v>
      </c>
      <c r="Q271" s="304">
        <v>1</v>
      </c>
      <c r="R271" s="304">
        <v>1</v>
      </c>
      <c r="S271" s="308">
        <v>0</v>
      </c>
    </row>
    <row r="272" spans="1:19" ht="144">
      <c r="A272" s="303">
        <v>267</v>
      </c>
      <c r="B272" s="304">
        <v>309</v>
      </c>
      <c r="C272" s="305" t="s">
        <v>215</v>
      </c>
      <c r="D272" s="306" t="s">
        <v>216</v>
      </c>
      <c r="E272" s="305" t="s">
        <v>772</v>
      </c>
      <c r="F272" s="306" t="s">
        <v>78</v>
      </c>
      <c r="G272" s="306" t="s">
        <v>1938</v>
      </c>
      <c r="H272" s="306" t="s">
        <v>2234</v>
      </c>
      <c r="I272" s="306" t="s">
        <v>2235</v>
      </c>
      <c r="J272" s="304" t="s">
        <v>97</v>
      </c>
      <c r="K272" s="307">
        <v>43405</v>
      </c>
      <c r="L272" s="309">
        <v>44196</v>
      </c>
      <c r="M272" s="306" t="s">
        <v>209</v>
      </c>
      <c r="N272" s="304" t="s">
        <v>96</v>
      </c>
      <c r="O272" s="306" t="s">
        <v>51</v>
      </c>
      <c r="P272" s="304">
        <v>1</v>
      </c>
      <c r="Q272" s="304">
        <v>1</v>
      </c>
      <c r="R272" s="304">
        <v>1</v>
      </c>
      <c r="S272" s="308">
        <v>0</v>
      </c>
    </row>
    <row r="273" spans="1:19" ht="328">
      <c r="A273" s="303">
        <v>268</v>
      </c>
      <c r="B273" s="304">
        <v>310</v>
      </c>
      <c r="C273" s="305" t="s">
        <v>215</v>
      </c>
      <c r="D273" s="306" t="s">
        <v>216</v>
      </c>
      <c r="E273" s="305" t="s">
        <v>772</v>
      </c>
      <c r="F273" s="306" t="s">
        <v>78</v>
      </c>
      <c r="G273" s="306" t="s">
        <v>2236</v>
      </c>
      <c r="H273" s="306" t="s">
        <v>2237</v>
      </c>
      <c r="I273" s="306" t="s">
        <v>2238</v>
      </c>
      <c r="J273" s="304" t="s">
        <v>87</v>
      </c>
      <c r="K273" s="307">
        <v>43405</v>
      </c>
      <c r="L273" s="309">
        <v>45657</v>
      </c>
      <c r="M273" s="306" t="s">
        <v>89</v>
      </c>
      <c r="N273" s="304" t="s">
        <v>90</v>
      </c>
      <c r="O273" s="306" t="s">
        <v>71</v>
      </c>
      <c r="P273" s="304">
        <v>1</v>
      </c>
      <c r="Q273" s="304">
        <v>1</v>
      </c>
      <c r="R273" s="304">
        <v>1</v>
      </c>
      <c r="S273" s="308">
        <v>0</v>
      </c>
    </row>
    <row r="274" spans="1:19" ht="156">
      <c r="A274" s="303">
        <v>269</v>
      </c>
      <c r="B274" s="304">
        <v>311</v>
      </c>
      <c r="C274" s="305" t="s">
        <v>215</v>
      </c>
      <c r="D274" s="306" t="s">
        <v>216</v>
      </c>
      <c r="E274" s="305" t="s">
        <v>772</v>
      </c>
      <c r="F274" s="306" t="s">
        <v>78</v>
      </c>
      <c r="G274" s="306" t="s">
        <v>2236</v>
      </c>
      <c r="H274" s="306" t="s">
        <v>2239</v>
      </c>
      <c r="I274" s="306" t="s">
        <v>2240</v>
      </c>
      <c r="J274" s="304" t="s">
        <v>87</v>
      </c>
      <c r="K274" s="307">
        <v>43405</v>
      </c>
      <c r="L274" s="309">
        <v>45657</v>
      </c>
      <c r="M274" s="306" t="s">
        <v>209</v>
      </c>
      <c r="N274" s="304" t="s">
        <v>90</v>
      </c>
      <c r="O274" s="306" t="s">
        <v>51</v>
      </c>
      <c r="P274" s="304">
        <v>1</v>
      </c>
      <c r="Q274" s="304">
        <v>1</v>
      </c>
      <c r="R274" s="304">
        <v>1</v>
      </c>
      <c r="S274" s="308">
        <v>0</v>
      </c>
    </row>
    <row r="275" spans="1:19" ht="168">
      <c r="A275" s="303">
        <v>270</v>
      </c>
      <c r="B275" s="304">
        <v>312</v>
      </c>
      <c r="C275" s="305" t="s">
        <v>215</v>
      </c>
      <c r="D275" s="306" t="s">
        <v>216</v>
      </c>
      <c r="E275" s="305" t="s">
        <v>772</v>
      </c>
      <c r="F275" s="306" t="s">
        <v>78</v>
      </c>
      <c r="G275" s="306" t="s">
        <v>2236</v>
      </c>
      <c r="H275" s="306" t="s">
        <v>2241</v>
      </c>
      <c r="I275" s="306" t="s">
        <v>2242</v>
      </c>
      <c r="J275" s="304" t="s">
        <v>87</v>
      </c>
      <c r="K275" s="307">
        <v>43405</v>
      </c>
      <c r="L275" s="309">
        <v>45657</v>
      </c>
      <c r="M275" s="306" t="s">
        <v>439</v>
      </c>
      <c r="N275" s="304" t="s">
        <v>90</v>
      </c>
      <c r="O275" s="306" t="s">
        <v>51</v>
      </c>
      <c r="P275" s="304">
        <v>1</v>
      </c>
      <c r="Q275" s="304">
        <v>1</v>
      </c>
      <c r="R275" s="304">
        <v>1</v>
      </c>
      <c r="S275" s="308">
        <v>0</v>
      </c>
    </row>
    <row r="276" spans="1:19" ht="409.6">
      <c r="A276" s="303">
        <v>271</v>
      </c>
      <c r="B276" s="304">
        <v>313</v>
      </c>
      <c r="C276" s="305" t="s">
        <v>711</v>
      </c>
      <c r="D276" s="306" t="s">
        <v>712</v>
      </c>
      <c r="E276" s="305" t="s">
        <v>776</v>
      </c>
      <c r="F276" s="306" t="s">
        <v>48</v>
      </c>
      <c r="G276" s="306" t="s">
        <v>2243</v>
      </c>
      <c r="H276" s="306" t="s">
        <v>1658</v>
      </c>
      <c r="I276" s="306" t="s">
        <v>2244</v>
      </c>
      <c r="J276" s="304" t="s">
        <v>87</v>
      </c>
      <c r="K276" s="307">
        <v>43405</v>
      </c>
      <c r="L276" s="309">
        <v>45657</v>
      </c>
      <c r="M276" s="306" t="s">
        <v>211</v>
      </c>
      <c r="N276" s="304" t="s">
        <v>96</v>
      </c>
      <c r="O276" s="306" t="s">
        <v>55</v>
      </c>
      <c r="P276" s="304">
        <v>1</v>
      </c>
      <c r="Q276" s="304">
        <v>1</v>
      </c>
      <c r="R276" s="304">
        <v>1</v>
      </c>
      <c r="S276" s="308">
        <v>1</v>
      </c>
    </row>
    <row r="277" spans="1:19" ht="409.6">
      <c r="A277" s="303">
        <v>272</v>
      </c>
      <c r="B277" s="304">
        <v>314</v>
      </c>
      <c r="C277" s="305" t="s">
        <v>711</v>
      </c>
      <c r="D277" s="306" t="s">
        <v>712</v>
      </c>
      <c r="E277" s="305" t="s">
        <v>776</v>
      </c>
      <c r="F277" s="306" t="s">
        <v>48</v>
      </c>
      <c r="G277" s="306" t="s">
        <v>2243</v>
      </c>
      <c r="H277" s="306" t="s">
        <v>1664</v>
      </c>
      <c r="I277" s="306" t="s">
        <v>2245</v>
      </c>
      <c r="J277" s="304" t="s">
        <v>87</v>
      </c>
      <c r="K277" s="307">
        <v>43405</v>
      </c>
      <c r="L277" s="309">
        <v>45657</v>
      </c>
      <c r="M277" s="306" t="s">
        <v>99</v>
      </c>
      <c r="N277" s="304" t="s">
        <v>96</v>
      </c>
      <c r="O277" s="306" t="s">
        <v>55</v>
      </c>
      <c r="P277" s="304">
        <v>1</v>
      </c>
      <c r="Q277" s="304">
        <v>1</v>
      </c>
      <c r="R277" s="304">
        <v>1</v>
      </c>
      <c r="S277" s="308">
        <v>1</v>
      </c>
    </row>
    <row r="278" spans="1:19" ht="409.6">
      <c r="A278" s="303">
        <v>273</v>
      </c>
      <c r="B278" s="304">
        <v>315</v>
      </c>
      <c r="C278" s="305" t="s">
        <v>711</v>
      </c>
      <c r="D278" s="306" t="s">
        <v>712</v>
      </c>
      <c r="E278" s="305" t="s">
        <v>776</v>
      </c>
      <c r="F278" s="306" t="s">
        <v>48</v>
      </c>
      <c r="G278" s="306" t="s">
        <v>2243</v>
      </c>
      <c r="H278" s="306" t="s">
        <v>1667</v>
      </c>
      <c r="I278" s="306" t="s">
        <v>2246</v>
      </c>
      <c r="J278" s="304" t="s">
        <v>87</v>
      </c>
      <c r="K278" s="307">
        <v>43405</v>
      </c>
      <c r="L278" s="309">
        <v>45657</v>
      </c>
      <c r="M278" s="306" t="s">
        <v>99</v>
      </c>
      <c r="N278" s="304" t="s">
        <v>96</v>
      </c>
      <c r="O278" s="306" t="s">
        <v>57</v>
      </c>
      <c r="P278" s="304">
        <v>1</v>
      </c>
      <c r="Q278" s="304">
        <v>1</v>
      </c>
      <c r="R278" s="304">
        <v>1</v>
      </c>
      <c r="S278" s="308">
        <v>1</v>
      </c>
    </row>
    <row r="279" spans="1:19" ht="372">
      <c r="A279" s="303">
        <v>274</v>
      </c>
      <c r="B279" s="304">
        <v>316</v>
      </c>
      <c r="C279" s="305" t="s">
        <v>711</v>
      </c>
      <c r="D279" s="306" t="s">
        <v>712</v>
      </c>
      <c r="E279" s="305" t="s">
        <v>776</v>
      </c>
      <c r="F279" s="306" t="s">
        <v>48</v>
      </c>
      <c r="G279" s="306" t="s">
        <v>2243</v>
      </c>
      <c r="H279" s="306" t="s">
        <v>1670</v>
      </c>
      <c r="I279" s="306" t="s">
        <v>2247</v>
      </c>
      <c r="J279" s="304" t="s">
        <v>87</v>
      </c>
      <c r="K279" s="307">
        <v>43405</v>
      </c>
      <c r="L279" s="309">
        <v>43830</v>
      </c>
      <c r="M279" s="306" t="s">
        <v>89</v>
      </c>
      <c r="N279" s="304" t="s">
        <v>90</v>
      </c>
      <c r="O279" s="306" t="s">
        <v>55</v>
      </c>
      <c r="P279" s="304">
        <v>1</v>
      </c>
      <c r="Q279" s="304">
        <v>1</v>
      </c>
      <c r="R279" s="304">
        <v>1</v>
      </c>
      <c r="S279" s="308">
        <v>1</v>
      </c>
    </row>
    <row r="280" spans="1:19" ht="409.6">
      <c r="A280" s="303">
        <v>275</v>
      </c>
      <c r="B280" s="304">
        <v>317</v>
      </c>
      <c r="C280" s="305" t="s">
        <v>711</v>
      </c>
      <c r="D280" s="306" t="s">
        <v>712</v>
      </c>
      <c r="E280" s="305" t="s">
        <v>776</v>
      </c>
      <c r="F280" s="306" t="s">
        <v>48</v>
      </c>
      <c r="G280" s="306" t="s">
        <v>2243</v>
      </c>
      <c r="H280" s="306" t="s">
        <v>1672</v>
      </c>
      <c r="I280" s="306" t="s">
        <v>2248</v>
      </c>
      <c r="J280" s="304" t="s">
        <v>87</v>
      </c>
      <c r="K280" s="307">
        <v>43405</v>
      </c>
      <c r="L280" s="309">
        <v>45657</v>
      </c>
      <c r="M280" s="306" t="s">
        <v>95</v>
      </c>
      <c r="N280" s="304" t="s">
        <v>96</v>
      </c>
      <c r="O280" s="306" t="s">
        <v>57</v>
      </c>
      <c r="P280" s="304">
        <v>1</v>
      </c>
      <c r="Q280" s="304">
        <v>1</v>
      </c>
      <c r="R280" s="304">
        <v>1</v>
      </c>
      <c r="S280" s="308">
        <v>1</v>
      </c>
    </row>
    <row r="281" spans="1:19" ht="251">
      <c r="A281" s="303">
        <v>276</v>
      </c>
      <c r="B281" s="304">
        <v>318</v>
      </c>
      <c r="C281" s="305" t="s">
        <v>711</v>
      </c>
      <c r="D281" s="306" t="s">
        <v>712</v>
      </c>
      <c r="E281" s="305" t="s">
        <v>776</v>
      </c>
      <c r="F281" s="306" t="s">
        <v>48</v>
      </c>
      <c r="G281" s="306" t="s">
        <v>2243</v>
      </c>
      <c r="H281" s="306" t="s">
        <v>1677</v>
      </c>
      <c r="I281" s="306" t="s">
        <v>2249</v>
      </c>
      <c r="J281" s="304" t="s">
        <v>87</v>
      </c>
      <c r="K281" s="307">
        <v>43405</v>
      </c>
      <c r="L281" s="309">
        <v>45657</v>
      </c>
      <c r="M281" s="306" t="s">
        <v>95</v>
      </c>
      <c r="N281" s="304" t="s">
        <v>96</v>
      </c>
      <c r="O281" s="306" t="s">
        <v>55</v>
      </c>
      <c r="P281" s="304">
        <v>1</v>
      </c>
      <c r="Q281" s="304">
        <v>1</v>
      </c>
      <c r="R281" s="304">
        <v>1</v>
      </c>
      <c r="S281" s="308">
        <v>1</v>
      </c>
    </row>
    <row r="282" spans="1:19" ht="251">
      <c r="A282" s="303">
        <v>277</v>
      </c>
      <c r="B282" s="304">
        <v>319</v>
      </c>
      <c r="C282" s="305" t="s">
        <v>711</v>
      </c>
      <c r="D282" s="306" t="s">
        <v>712</v>
      </c>
      <c r="E282" s="305" t="s">
        <v>776</v>
      </c>
      <c r="F282" s="306" t="s">
        <v>48</v>
      </c>
      <c r="G282" s="306" t="s">
        <v>2243</v>
      </c>
      <c r="H282" s="306" t="s">
        <v>1679</v>
      </c>
      <c r="I282" s="306" t="s">
        <v>2250</v>
      </c>
      <c r="J282" s="304" t="s">
        <v>87</v>
      </c>
      <c r="K282" s="307">
        <v>43405</v>
      </c>
      <c r="L282" s="309">
        <v>44926</v>
      </c>
      <c r="M282" s="306" t="s">
        <v>439</v>
      </c>
      <c r="N282" s="304" t="s">
        <v>96</v>
      </c>
      <c r="O282" s="306" t="s">
        <v>57</v>
      </c>
      <c r="P282" s="304">
        <v>1</v>
      </c>
      <c r="Q282" s="304">
        <v>1</v>
      </c>
      <c r="R282" s="304">
        <v>1</v>
      </c>
      <c r="S282" s="308">
        <v>1</v>
      </c>
    </row>
    <row r="283" spans="1:19" ht="251">
      <c r="A283" s="303">
        <v>278</v>
      </c>
      <c r="B283" s="304">
        <v>320</v>
      </c>
      <c r="C283" s="305" t="s">
        <v>711</v>
      </c>
      <c r="D283" s="306" t="s">
        <v>712</v>
      </c>
      <c r="E283" s="305" t="s">
        <v>776</v>
      </c>
      <c r="F283" s="306" t="s">
        <v>48</v>
      </c>
      <c r="G283" s="306" t="s">
        <v>2243</v>
      </c>
      <c r="H283" s="306" t="s">
        <v>1681</v>
      </c>
      <c r="I283" s="306" t="s">
        <v>2251</v>
      </c>
      <c r="J283" s="304" t="s">
        <v>87</v>
      </c>
      <c r="K283" s="307">
        <v>43405</v>
      </c>
      <c r="L283" s="309">
        <v>44561</v>
      </c>
      <c r="M283" s="306" t="s">
        <v>95</v>
      </c>
      <c r="N283" s="304" t="s">
        <v>96</v>
      </c>
      <c r="O283" s="306" t="s">
        <v>55</v>
      </c>
      <c r="P283" s="304">
        <v>1</v>
      </c>
      <c r="Q283" s="304">
        <v>1</v>
      </c>
      <c r="R283" s="304">
        <v>1</v>
      </c>
      <c r="S283" s="308">
        <v>1</v>
      </c>
    </row>
    <row r="284" spans="1:19" ht="251">
      <c r="A284" s="303">
        <v>279</v>
      </c>
      <c r="B284" s="304">
        <v>321</v>
      </c>
      <c r="C284" s="305" t="s">
        <v>711</v>
      </c>
      <c r="D284" s="306" t="s">
        <v>712</v>
      </c>
      <c r="E284" s="305" t="s">
        <v>776</v>
      </c>
      <c r="F284" s="306" t="s">
        <v>48</v>
      </c>
      <c r="G284" s="306" t="s">
        <v>2243</v>
      </c>
      <c r="H284" s="306" t="s">
        <v>1685</v>
      </c>
      <c r="I284" s="306" t="s">
        <v>2252</v>
      </c>
      <c r="J284" s="304" t="s">
        <v>87</v>
      </c>
      <c r="K284" s="307">
        <v>43405</v>
      </c>
      <c r="L284" s="309">
        <v>44196</v>
      </c>
      <c r="M284" s="306" t="s">
        <v>89</v>
      </c>
      <c r="N284" s="304" t="s">
        <v>90</v>
      </c>
      <c r="O284" s="306" t="s">
        <v>71</v>
      </c>
      <c r="P284" s="304">
        <v>1</v>
      </c>
      <c r="Q284" s="304">
        <v>1</v>
      </c>
      <c r="R284" s="304">
        <v>1</v>
      </c>
      <c r="S284" s="308">
        <v>1</v>
      </c>
    </row>
    <row r="285" spans="1:19" ht="273">
      <c r="A285" s="303">
        <v>280</v>
      </c>
      <c r="B285" s="304">
        <v>322</v>
      </c>
      <c r="C285" s="305" t="s">
        <v>711</v>
      </c>
      <c r="D285" s="306" t="s">
        <v>712</v>
      </c>
      <c r="E285" s="305" t="s">
        <v>776</v>
      </c>
      <c r="F285" s="306" t="s">
        <v>48</v>
      </c>
      <c r="G285" s="306" t="s">
        <v>2243</v>
      </c>
      <c r="H285" s="306" t="s">
        <v>1687</v>
      </c>
      <c r="I285" s="306" t="s">
        <v>2253</v>
      </c>
      <c r="J285" s="304" t="s">
        <v>87</v>
      </c>
      <c r="K285" s="307">
        <v>43405</v>
      </c>
      <c r="L285" s="309">
        <v>43830</v>
      </c>
      <c r="M285" s="306" t="s">
        <v>89</v>
      </c>
      <c r="N285" s="304" t="s">
        <v>90</v>
      </c>
      <c r="O285" s="306" t="s">
        <v>71</v>
      </c>
      <c r="P285" s="304">
        <v>1</v>
      </c>
      <c r="Q285" s="304">
        <v>1</v>
      </c>
      <c r="R285" s="304">
        <v>1</v>
      </c>
      <c r="S285" s="308">
        <v>1</v>
      </c>
    </row>
    <row r="286" spans="1:19" ht="251">
      <c r="A286" s="303">
        <v>281</v>
      </c>
      <c r="B286" s="304">
        <v>323</v>
      </c>
      <c r="C286" s="305" t="s">
        <v>711</v>
      </c>
      <c r="D286" s="306" t="s">
        <v>712</v>
      </c>
      <c r="E286" s="305" t="s">
        <v>776</v>
      </c>
      <c r="F286" s="306" t="s">
        <v>48</v>
      </c>
      <c r="G286" s="306" t="s">
        <v>2243</v>
      </c>
      <c r="H286" s="306" t="s">
        <v>1451</v>
      </c>
      <c r="I286" s="306" t="s">
        <v>2254</v>
      </c>
      <c r="J286" s="304" t="s">
        <v>87</v>
      </c>
      <c r="K286" s="307">
        <v>43405</v>
      </c>
      <c r="L286" s="309">
        <v>45657</v>
      </c>
      <c r="M286" s="306" t="s">
        <v>89</v>
      </c>
      <c r="N286" s="304" t="s">
        <v>90</v>
      </c>
      <c r="O286" s="306" t="s">
        <v>55</v>
      </c>
      <c r="P286" s="304">
        <v>1</v>
      </c>
      <c r="Q286" s="304">
        <v>1</v>
      </c>
      <c r="R286" s="304">
        <v>1</v>
      </c>
      <c r="S286" s="308">
        <v>1</v>
      </c>
    </row>
    <row r="287" spans="1:19" ht="251">
      <c r="A287" s="303">
        <v>282</v>
      </c>
      <c r="B287" s="304">
        <v>324</v>
      </c>
      <c r="C287" s="305" t="s">
        <v>711</v>
      </c>
      <c r="D287" s="306" t="s">
        <v>712</v>
      </c>
      <c r="E287" s="305" t="s">
        <v>776</v>
      </c>
      <c r="F287" s="306" t="s">
        <v>48</v>
      </c>
      <c r="G287" s="306" t="s">
        <v>2243</v>
      </c>
      <c r="H287" s="306" t="s">
        <v>1692</v>
      </c>
      <c r="I287" s="306" t="s">
        <v>2255</v>
      </c>
      <c r="J287" s="304" t="s">
        <v>87</v>
      </c>
      <c r="K287" s="307">
        <v>43405</v>
      </c>
      <c r="L287" s="309">
        <v>45657</v>
      </c>
      <c r="M287" s="306" t="s">
        <v>205</v>
      </c>
      <c r="N287" s="304" t="s">
        <v>96</v>
      </c>
      <c r="O287" s="306" t="s">
        <v>71</v>
      </c>
      <c r="P287" s="304">
        <v>1</v>
      </c>
      <c r="Q287" s="304">
        <v>1</v>
      </c>
      <c r="R287" s="304">
        <v>1</v>
      </c>
      <c r="S287" s="308">
        <v>1</v>
      </c>
    </row>
    <row r="288" spans="1:19" ht="328">
      <c r="A288" s="303">
        <v>283</v>
      </c>
      <c r="B288" s="304">
        <v>325</v>
      </c>
      <c r="C288" s="305" t="s">
        <v>711</v>
      </c>
      <c r="D288" s="306" t="s">
        <v>712</v>
      </c>
      <c r="E288" s="305" t="s">
        <v>776</v>
      </c>
      <c r="F288" s="306" t="s">
        <v>48</v>
      </c>
      <c r="G288" s="306" t="s">
        <v>2243</v>
      </c>
      <c r="H288" s="306" t="s">
        <v>1694</v>
      </c>
      <c r="I288" s="306" t="s">
        <v>2256</v>
      </c>
      <c r="J288" s="304" t="s">
        <v>87</v>
      </c>
      <c r="K288" s="307">
        <v>43405</v>
      </c>
      <c r="L288" s="307">
        <v>45536</v>
      </c>
      <c r="M288" s="306" t="s">
        <v>211</v>
      </c>
      <c r="N288" s="304" t="s">
        <v>96</v>
      </c>
      <c r="O288" s="306" t="s">
        <v>55</v>
      </c>
      <c r="P288" s="304">
        <v>1</v>
      </c>
      <c r="Q288" s="304">
        <v>1</v>
      </c>
      <c r="R288" s="304">
        <v>1</v>
      </c>
      <c r="S288" s="308">
        <v>1</v>
      </c>
    </row>
    <row r="289" spans="1:19" ht="409.6">
      <c r="A289" s="303">
        <v>284</v>
      </c>
      <c r="B289" s="304">
        <v>326</v>
      </c>
      <c r="C289" s="305" t="s">
        <v>711</v>
      </c>
      <c r="D289" s="306" t="s">
        <v>712</v>
      </c>
      <c r="E289" s="305" t="s">
        <v>776</v>
      </c>
      <c r="F289" s="306" t="s">
        <v>48</v>
      </c>
      <c r="G289" s="306" t="s">
        <v>2243</v>
      </c>
      <c r="H289" s="306" t="s">
        <v>1696</v>
      </c>
      <c r="I289" s="306" t="s">
        <v>2257</v>
      </c>
      <c r="J289" s="304" t="s">
        <v>87</v>
      </c>
      <c r="K289" s="307">
        <v>43405</v>
      </c>
      <c r="L289" s="309">
        <v>45657</v>
      </c>
      <c r="M289" s="306" t="s">
        <v>89</v>
      </c>
      <c r="N289" s="304" t="s">
        <v>90</v>
      </c>
      <c r="O289" s="306" t="s">
        <v>55</v>
      </c>
      <c r="P289" s="304">
        <v>1</v>
      </c>
      <c r="Q289" s="304">
        <v>1</v>
      </c>
      <c r="R289" s="304">
        <v>1</v>
      </c>
      <c r="S289" s="308">
        <v>1</v>
      </c>
    </row>
    <row r="290" spans="1:19" ht="383">
      <c r="A290" s="303">
        <v>285</v>
      </c>
      <c r="B290" s="304">
        <v>327</v>
      </c>
      <c r="C290" s="305" t="s">
        <v>711</v>
      </c>
      <c r="D290" s="306" t="s">
        <v>712</v>
      </c>
      <c r="E290" s="305" t="s">
        <v>776</v>
      </c>
      <c r="F290" s="306" t="s">
        <v>48</v>
      </c>
      <c r="G290" s="306" t="s">
        <v>2243</v>
      </c>
      <c r="H290" s="306" t="s">
        <v>1701</v>
      </c>
      <c r="I290" s="306" t="s">
        <v>2258</v>
      </c>
      <c r="J290" s="304" t="s">
        <v>87</v>
      </c>
      <c r="K290" s="307">
        <v>43405</v>
      </c>
      <c r="L290" s="309">
        <v>45657</v>
      </c>
      <c r="M290" s="306" t="s">
        <v>95</v>
      </c>
      <c r="N290" s="304" t="s">
        <v>96</v>
      </c>
      <c r="O290" s="306" t="s">
        <v>55</v>
      </c>
      <c r="P290" s="304">
        <v>1</v>
      </c>
      <c r="Q290" s="304">
        <v>1</v>
      </c>
      <c r="R290" s="304">
        <v>1</v>
      </c>
      <c r="S290" s="308">
        <v>1</v>
      </c>
    </row>
    <row r="291" spans="1:19" ht="251">
      <c r="A291" s="303">
        <v>286</v>
      </c>
      <c r="B291" s="304">
        <v>328</v>
      </c>
      <c r="C291" s="305" t="s">
        <v>711</v>
      </c>
      <c r="D291" s="306" t="s">
        <v>712</v>
      </c>
      <c r="E291" s="305" t="s">
        <v>776</v>
      </c>
      <c r="F291" s="306" t="s">
        <v>48</v>
      </c>
      <c r="G291" s="306" t="s">
        <v>2243</v>
      </c>
      <c r="H291" s="306" t="s">
        <v>1703</v>
      </c>
      <c r="I291" s="306" t="s">
        <v>2259</v>
      </c>
      <c r="J291" s="304" t="s">
        <v>87</v>
      </c>
      <c r="K291" s="307">
        <v>43405</v>
      </c>
      <c r="L291" s="309">
        <v>44926</v>
      </c>
      <c r="M291" s="306" t="s">
        <v>211</v>
      </c>
      <c r="N291" s="304" t="s">
        <v>96</v>
      </c>
      <c r="O291" s="306" t="s">
        <v>55</v>
      </c>
      <c r="P291" s="304">
        <v>1</v>
      </c>
      <c r="Q291" s="304">
        <v>1</v>
      </c>
      <c r="R291" s="304">
        <v>1</v>
      </c>
      <c r="S291" s="308">
        <v>1</v>
      </c>
    </row>
    <row r="292" spans="1:19" ht="251">
      <c r="A292" s="303">
        <v>287</v>
      </c>
      <c r="B292" s="304">
        <v>329</v>
      </c>
      <c r="C292" s="305" t="s">
        <v>711</v>
      </c>
      <c r="D292" s="306" t="s">
        <v>712</v>
      </c>
      <c r="E292" s="305" t="s">
        <v>776</v>
      </c>
      <c r="F292" s="306" t="s">
        <v>48</v>
      </c>
      <c r="G292" s="306" t="s">
        <v>2243</v>
      </c>
      <c r="H292" s="306" t="s">
        <v>1705</v>
      </c>
      <c r="I292" s="306" t="s">
        <v>2260</v>
      </c>
      <c r="J292" s="304" t="s">
        <v>87</v>
      </c>
      <c r="K292" s="307">
        <v>43405</v>
      </c>
      <c r="L292" s="309">
        <v>45657</v>
      </c>
      <c r="M292" s="306" t="s">
        <v>211</v>
      </c>
      <c r="N292" s="304" t="s">
        <v>90</v>
      </c>
      <c r="O292" s="306" t="s">
        <v>71</v>
      </c>
      <c r="P292" s="304">
        <v>1</v>
      </c>
      <c r="Q292" s="304">
        <v>1</v>
      </c>
      <c r="R292" s="304">
        <v>1</v>
      </c>
      <c r="S292" s="308">
        <v>1</v>
      </c>
    </row>
    <row r="293" spans="1:19" ht="361">
      <c r="A293" s="303">
        <v>288</v>
      </c>
      <c r="B293" s="304">
        <v>330</v>
      </c>
      <c r="C293" s="305" t="s">
        <v>711</v>
      </c>
      <c r="D293" s="306" t="s">
        <v>712</v>
      </c>
      <c r="E293" s="305" t="s">
        <v>776</v>
      </c>
      <c r="F293" s="306" t="s">
        <v>48</v>
      </c>
      <c r="G293" s="306" t="s">
        <v>2243</v>
      </c>
      <c r="H293" s="306" t="s">
        <v>1709</v>
      </c>
      <c r="I293" s="306" t="s">
        <v>2261</v>
      </c>
      <c r="J293" s="304" t="s">
        <v>87</v>
      </c>
      <c r="K293" s="307">
        <v>43405</v>
      </c>
      <c r="L293" s="309">
        <v>45657</v>
      </c>
      <c r="M293" s="306" t="s">
        <v>211</v>
      </c>
      <c r="N293" s="304" t="s">
        <v>96</v>
      </c>
      <c r="O293" s="306" t="s">
        <v>55</v>
      </c>
      <c r="P293" s="304">
        <v>1</v>
      </c>
      <c r="Q293" s="304">
        <v>1</v>
      </c>
      <c r="R293" s="304">
        <v>1</v>
      </c>
      <c r="S293" s="308">
        <v>1</v>
      </c>
    </row>
    <row r="294" spans="1:19" ht="339">
      <c r="A294" s="303">
        <v>289</v>
      </c>
      <c r="B294" s="304">
        <v>331</v>
      </c>
      <c r="C294" s="305" t="s">
        <v>711</v>
      </c>
      <c r="D294" s="306" t="s">
        <v>712</v>
      </c>
      <c r="E294" s="305" t="s">
        <v>776</v>
      </c>
      <c r="F294" s="306" t="s">
        <v>48</v>
      </c>
      <c r="G294" s="306" t="s">
        <v>2243</v>
      </c>
      <c r="H294" s="306" t="s">
        <v>1711</v>
      </c>
      <c r="I294" s="306" t="s">
        <v>2262</v>
      </c>
      <c r="J294" s="304" t="s">
        <v>87</v>
      </c>
      <c r="K294" s="307">
        <v>43405</v>
      </c>
      <c r="L294" s="309">
        <v>45657</v>
      </c>
      <c r="M294" s="306" t="s">
        <v>211</v>
      </c>
      <c r="N294" s="304" t="s">
        <v>96</v>
      </c>
      <c r="O294" s="306" t="s">
        <v>55</v>
      </c>
      <c r="P294" s="304">
        <v>1</v>
      </c>
      <c r="Q294" s="304">
        <v>1</v>
      </c>
      <c r="R294" s="304">
        <v>1</v>
      </c>
      <c r="S294" s="308">
        <v>1</v>
      </c>
    </row>
    <row r="295" spans="1:19" ht="251">
      <c r="A295" s="303">
        <v>290</v>
      </c>
      <c r="B295" s="304">
        <v>332</v>
      </c>
      <c r="C295" s="305" t="s">
        <v>711</v>
      </c>
      <c r="D295" s="306" t="s">
        <v>712</v>
      </c>
      <c r="E295" s="305" t="s">
        <v>776</v>
      </c>
      <c r="F295" s="306" t="s">
        <v>48</v>
      </c>
      <c r="G295" s="306" t="s">
        <v>2243</v>
      </c>
      <c r="H295" s="306" t="s">
        <v>1715</v>
      </c>
      <c r="I295" s="306" t="s">
        <v>2263</v>
      </c>
      <c r="J295" s="304" t="s">
        <v>87</v>
      </c>
      <c r="K295" s="307">
        <v>43405</v>
      </c>
      <c r="L295" s="309">
        <v>45657</v>
      </c>
      <c r="M295" s="306" t="s">
        <v>211</v>
      </c>
      <c r="N295" s="304" t="s">
        <v>96</v>
      </c>
      <c r="O295" s="306" t="s">
        <v>55</v>
      </c>
      <c r="P295" s="304">
        <v>1</v>
      </c>
      <c r="Q295" s="304">
        <v>1</v>
      </c>
      <c r="R295" s="304">
        <v>1</v>
      </c>
      <c r="S295" s="308">
        <v>1</v>
      </c>
    </row>
    <row r="296" spans="1:19" ht="409.6">
      <c r="A296" s="303">
        <v>291</v>
      </c>
      <c r="B296" s="304">
        <v>333</v>
      </c>
      <c r="C296" s="305" t="s">
        <v>711</v>
      </c>
      <c r="D296" s="306" t="s">
        <v>712</v>
      </c>
      <c r="E296" s="305" t="s">
        <v>776</v>
      </c>
      <c r="F296" s="306" t="s">
        <v>48</v>
      </c>
      <c r="G296" s="306" t="s">
        <v>2243</v>
      </c>
      <c r="H296" s="306" t="s">
        <v>1717</v>
      </c>
      <c r="I296" s="306" t="s">
        <v>2264</v>
      </c>
      <c r="J296" s="304" t="s">
        <v>87</v>
      </c>
      <c r="K296" s="307">
        <v>43405</v>
      </c>
      <c r="L296" s="309">
        <v>45657</v>
      </c>
      <c r="M296" s="306" t="s">
        <v>95</v>
      </c>
      <c r="N296" s="304" t="s">
        <v>96</v>
      </c>
      <c r="O296" s="306" t="s">
        <v>55</v>
      </c>
      <c r="P296" s="304">
        <v>1</v>
      </c>
      <c r="Q296" s="304">
        <v>1</v>
      </c>
      <c r="R296" s="304">
        <v>1</v>
      </c>
      <c r="S296" s="308">
        <v>1</v>
      </c>
    </row>
    <row r="297" spans="1:19" ht="251">
      <c r="A297" s="303">
        <v>292</v>
      </c>
      <c r="B297" s="304">
        <v>334</v>
      </c>
      <c r="C297" s="305" t="s">
        <v>711</v>
      </c>
      <c r="D297" s="306" t="s">
        <v>712</v>
      </c>
      <c r="E297" s="305" t="s">
        <v>776</v>
      </c>
      <c r="F297" s="306" t="s">
        <v>48</v>
      </c>
      <c r="G297" s="306" t="s">
        <v>2243</v>
      </c>
      <c r="H297" s="306" t="s">
        <v>1719</v>
      </c>
      <c r="I297" s="306" t="s">
        <v>2265</v>
      </c>
      <c r="J297" s="304" t="s">
        <v>87</v>
      </c>
      <c r="K297" s="307">
        <v>43405</v>
      </c>
      <c r="L297" s="309">
        <v>45657</v>
      </c>
      <c r="M297" s="306" t="s">
        <v>95</v>
      </c>
      <c r="N297" s="304" t="s">
        <v>96</v>
      </c>
      <c r="O297" s="306" t="s">
        <v>55</v>
      </c>
      <c r="P297" s="304">
        <v>1</v>
      </c>
      <c r="Q297" s="304">
        <v>1</v>
      </c>
      <c r="R297" s="304">
        <v>1</v>
      </c>
      <c r="S297" s="308">
        <v>1</v>
      </c>
    </row>
    <row r="298" spans="1:19" ht="251">
      <c r="A298" s="303">
        <v>293</v>
      </c>
      <c r="B298" s="304">
        <v>335</v>
      </c>
      <c r="C298" s="305" t="s">
        <v>711</v>
      </c>
      <c r="D298" s="306" t="s">
        <v>712</v>
      </c>
      <c r="E298" s="305" t="s">
        <v>776</v>
      </c>
      <c r="F298" s="306" t="s">
        <v>48</v>
      </c>
      <c r="G298" s="306" t="s">
        <v>2243</v>
      </c>
      <c r="H298" s="306" t="s">
        <v>1717</v>
      </c>
      <c r="I298" s="306"/>
      <c r="J298" s="304" t="s">
        <v>87</v>
      </c>
      <c r="K298" s="307">
        <v>43405</v>
      </c>
      <c r="L298" s="309">
        <v>43830</v>
      </c>
      <c r="M298" s="306" t="s">
        <v>95</v>
      </c>
      <c r="N298" s="304" t="s">
        <v>96</v>
      </c>
      <c r="O298" s="306" t="s">
        <v>55</v>
      </c>
      <c r="P298" s="304">
        <v>1</v>
      </c>
      <c r="Q298" s="304">
        <v>1</v>
      </c>
      <c r="R298" s="304">
        <v>1</v>
      </c>
      <c r="S298" s="308">
        <v>1</v>
      </c>
    </row>
    <row r="299" spans="1:19" ht="409.6">
      <c r="A299" s="303">
        <v>294</v>
      </c>
      <c r="B299" s="304">
        <v>336</v>
      </c>
      <c r="C299" s="305" t="s">
        <v>711</v>
      </c>
      <c r="D299" s="306" t="s">
        <v>712</v>
      </c>
      <c r="E299" s="305" t="s">
        <v>776</v>
      </c>
      <c r="F299" s="306" t="s">
        <v>48</v>
      </c>
      <c r="G299" s="306" t="s">
        <v>2243</v>
      </c>
      <c r="H299" s="306" t="s">
        <v>1322</v>
      </c>
      <c r="I299" s="306" t="s">
        <v>2266</v>
      </c>
      <c r="J299" s="304" t="s">
        <v>87</v>
      </c>
      <c r="K299" s="307">
        <v>43405</v>
      </c>
      <c r="L299" s="309">
        <v>43830</v>
      </c>
      <c r="M299" s="306" t="s">
        <v>214</v>
      </c>
      <c r="N299" s="304" t="s">
        <v>90</v>
      </c>
      <c r="O299" s="306" t="s">
        <v>71</v>
      </c>
      <c r="P299" s="304">
        <v>1</v>
      </c>
      <c r="Q299" s="304">
        <v>1</v>
      </c>
      <c r="R299" s="304">
        <v>1</v>
      </c>
      <c r="S299" s="308">
        <v>1</v>
      </c>
    </row>
    <row r="300" spans="1:19" ht="409.6">
      <c r="A300" s="303">
        <v>295</v>
      </c>
      <c r="B300" s="304">
        <v>337</v>
      </c>
      <c r="C300" s="305" t="s">
        <v>711</v>
      </c>
      <c r="D300" s="306" t="s">
        <v>712</v>
      </c>
      <c r="E300" s="305" t="s">
        <v>778</v>
      </c>
      <c r="F300" s="306" t="s">
        <v>72</v>
      </c>
      <c r="G300" s="306" t="s">
        <v>2267</v>
      </c>
      <c r="H300" s="306" t="s">
        <v>2268</v>
      </c>
      <c r="I300" s="306" t="s">
        <v>2269</v>
      </c>
      <c r="J300" s="304" t="s">
        <v>87</v>
      </c>
      <c r="K300" s="307">
        <v>43405</v>
      </c>
      <c r="L300" s="309">
        <v>44561</v>
      </c>
      <c r="M300" s="306" t="s">
        <v>99</v>
      </c>
      <c r="N300" s="304" t="s">
        <v>96</v>
      </c>
      <c r="O300" s="306" t="s">
        <v>55</v>
      </c>
      <c r="P300" s="304">
        <v>1</v>
      </c>
      <c r="Q300" s="304">
        <v>1</v>
      </c>
      <c r="R300" s="304">
        <v>1</v>
      </c>
      <c r="S300" s="308">
        <v>1</v>
      </c>
    </row>
    <row r="301" spans="1:19" ht="339">
      <c r="A301" s="303">
        <v>296</v>
      </c>
      <c r="B301" s="304">
        <v>338</v>
      </c>
      <c r="C301" s="305" t="s">
        <v>711</v>
      </c>
      <c r="D301" s="306" t="s">
        <v>712</v>
      </c>
      <c r="E301" s="305" t="s">
        <v>778</v>
      </c>
      <c r="F301" s="306" t="s">
        <v>72</v>
      </c>
      <c r="G301" s="306" t="s">
        <v>2267</v>
      </c>
      <c r="H301" s="306" t="s">
        <v>1395</v>
      </c>
      <c r="I301" s="306" t="s">
        <v>2270</v>
      </c>
      <c r="J301" s="304" t="s">
        <v>87</v>
      </c>
      <c r="K301" s="307">
        <v>43405</v>
      </c>
      <c r="L301" s="309">
        <v>45657</v>
      </c>
      <c r="M301" s="306" t="s">
        <v>211</v>
      </c>
      <c r="N301" s="304" t="s">
        <v>96</v>
      </c>
      <c r="O301" s="306" t="s">
        <v>55</v>
      </c>
      <c r="P301" s="304">
        <v>1</v>
      </c>
      <c r="Q301" s="304">
        <v>1</v>
      </c>
      <c r="R301" s="304">
        <v>1</v>
      </c>
      <c r="S301" s="308">
        <v>1</v>
      </c>
    </row>
    <row r="302" spans="1:19" ht="409.6">
      <c r="A302" s="303">
        <v>297</v>
      </c>
      <c r="B302" s="304">
        <v>339</v>
      </c>
      <c r="C302" s="305" t="s">
        <v>711</v>
      </c>
      <c r="D302" s="306" t="s">
        <v>712</v>
      </c>
      <c r="E302" s="305" t="s">
        <v>778</v>
      </c>
      <c r="F302" s="306" t="s">
        <v>72</v>
      </c>
      <c r="G302" s="306" t="s">
        <v>2267</v>
      </c>
      <c r="H302" s="306" t="s">
        <v>1405</v>
      </c>
      <c r="I302" s="306" t="s">
        <v>2271</v>
      </c>
      <c r="J302" s="304" t="s">
        <v>87</v>
      </c>
      <c r="K302" s="307">
        <v>43405</v>
      </c>
      <c r="L302" s="309">
        <v>45657</v>
      </c>
      <c r="M302" s="306" t="s">
        <v>211</v>
      </c>
      <c r="N302" s="304" t="s">
        <v>96</v>
      </c>
      <c r="O302" s="306" t="s">
        <v>55</v>
      </c>
      <c r="P302" s="304">
        <v>1</v>
      </c>
      <c r="Q302" s="304">
        <v>1</v>
      </c>
      <c r="R302" s="304">
        <v>1</v>
      </c>
      <c r="S302" s="308">
        <v>1</v>
      </c>
    </row>
    <row r="303" spans="1:19" ht="409.6">
      <c r="A303" s="303">
        <v>298</v>
      </c>
      <c r="B303" s="304">
        <v>340</v>
      </c>
      <c r="C303" s="305" t="s">
        <v>711</v>
      </c>
      <c r="D303" s="306" t="s">
        <v>712</v>
      </c>
      <c r="E303" s="305" t="s">
        <v>778</v>
      </c>
      <c r="F303" s="306" t="s">
        <v>72</v>
      </c>
      <c r="G303" s="306" t="s">
        <v>2267</v>
      </c>
      <c r="H303" s="306" t="s">
        <v>1410</v>
      </c>
      <c r="I303" s="306" t="s">
        <v>2272</v>
      </c>
      <c r="J303" s="304" t="s">
        <v>87</v>
      </c>
      <c r="K303" s="307">
        <v>43405</v>
      </c>
      <c r="L303" s="309">
        <v>45657</v>
      </c>
      <c r="M303" s="306" t="s">
        <v>99</v>
      </c>
      <c r="N303" s="304" t="s">
        <v>96</v>
      </c>
      <c r="O303" s="306" t="s">
        <v>57</v>
      </c>
      <c r="P303" s="304">
        <v>1</v>
      </c>
      <c r="Q303" s="304">
        <v>1</v>
      </c>
      <c r="R303" s="304">
        <v>1</v>
      </c>
      <c r="S303" s="308">
        <v>1</v>
      </c>
    </row>
    <row r="304" spans="1:19" ht="409.6">
      <c r="A304" s="303">
        <v>299</v>
      </c>
      <c r="B304" s="304">
        <v>341</v>
      </c>
      <c r="C304" s="305" t="s">
        <v>711</v>
      </c>
      <c r="D304" s="306" t="s">
        <v>712</v>
      </c>
      <c r="E304" s="305" t="s">
        <v>778</v>
      </c>
      <c r="F304" s="306" t="s">
        <v>72</v>
      </c>
      <c r="G304" s="306" t="s">
        <v>2267</v>
      </c>
      <c r="H304" s="306" t="s">
        <v>1414</v>
      </c>
      <c r="I304" s="306" t="s">
        <v>2273</v>
      </c>
      <c r="J304" s="304" t="s">
        <v>87</v>
      </c>
      <c r="K304" s="307">
        <v>43405</v>
      </c>
      <c r="L304" s="309">
        <v>45657</v>
      </c>
      <c r="M304" s="306" t="s">
        <v>98</v>
      </c>
      <c r="N304" s="304" t="s">
        <v>96</v>
      </c>
      <c r="O304" s="306" t="s">
        <v>55</v>
      </c>
      <c r="P304" s="304">
        <v>1</v>
      </c>
      <c r="Q304" s="304">
        <v>1</v>
      </c>
      <c r="R304" s="304">
        <v>1</v>
      </c>
      <c r="S304" s="308">
        <v>1</v>
      </c>
    </row>
    <row r="305" spans="1:19" ht="180">
      <c r="A305" s="303">
        <v>300</v>
      </c>
      <c r="B305" s="304">
        <v>342</v>
      </c>
      <c r="C305" s="305" t="s">
        <v>711</v>
      </c>
      <c r="D305" s="306" t="s">
        <v>712</v>
      </c>
      <c r="E305" s="305" t="s">
        <v>778</v>
      </c>
      <c r="F305" s="306" t="s">
        <v>72</v>
      </c>
      <c r="G305" s="306" t="s">
        <v>2267</v>
      </c>
      <c r="H305" s="306" t="s">
        <v>1670</v>
      </c>
      <c r="I305" s="306" t="s">
        <v>2274</v>
      </c>
      <c r="J305" s="304" t="s">
        <v>87</v>
      </c>
      <c r="K305" s="307">
        <v>43466</v>
      </c>
      <c r="L305" s="309">
        <v>43830</v>
      </c>
      <c r="M305" s="306" t="s">
        <v>89</v>
      </c>
      <c r="N305" s="304" t="s">
        <v>90</v>
      </c>
      <c r="O305" s="306" t="s">
        <v>71</v>
      </c>
      <c r="P305" s="304">
        <v>1</v>
      </c>
      <c r="Q305" s="304">
        <v>1</v>
      </c>
      <c r="R305" s="304">
        <v>1</v>
      </c>
      <c r="S305" s="308">
        <v>1</v>
      </c>
    </row>
    <row r="306" spans="1:19" ht="295">
      <c r="A306" s="303">
        <v>301</v>
      </c>
      <c r="B306" s="304">
        <v>343</v>
      </c>
      <c r="C306" s="305" t="s">
        <v>711</v>
      </c>
      <c r="D306" s="306" t="s">
        <v>712</v>
      </c>
      <c r="E306" s="305" t="s">
        <v>778</v>
      </c>
      <c r="F306" s="306" t="s">
        <v>72</v>
      </c>
      <c r="G306" s="306" t="s">
        <v>2267</v>
      </c>
      <c r="H306" s="306" t="s">
        <v>1421</v>
      </c>
      <c r="I306" s="306" t="s">
        <v>2275</v>
      </c>
      <c r="J306" s="304" t="s">
        <v>87</v>
      </c>
      <c r="K306" s="307">
        <v>43405</v>
      </c>
      <c r="L306" s="309">
        <v>45657</v>
      </c>
      <c r="M306" s="306" t="s">
        <v>2276</v>
      </c>
      <c r="N306" s="304" t="s">
        <v>96</v>
      </c>
      <c r="O306" s="306" t="s">
        <v>57</v>
      </c>
      <c r="P306" s="304">
        <v>1</v>
      </c>
      <c r="Q306" s="304">
        <v>1</v>
      </c>
      <c r="R306" s="304">
        <v>1</v>
      </c>
      <c r="S306" s="308">
        <v>1</v>
      </c>
    </row>
    <row r="307" spans="1:19" ht="409.6">
      <c r="A307" s="303">
        <v>302</v>
      </c>
      <c r="B307" s="304">
        <v>344</v>
      </c>
      <c r="C307" s="305" t="s">
        <v>711</v>
      </c>
      <c r="D307" s="306" t="s">
        <v>712</v>
      </c>
      <c r="E307" s="305" t="s">
        <v>778</v>
      </c>
      <c r="F307" s="306" t="s">
        <v>72</v>
      </c>
      <c r="G307" s="306" t="s">
        <v>2267</v>
      </c>
      <c r="H307" s="306" t="s">
        <v>1425</v>
      </c>
      <c r="I307" s="306" t="s">
        <v>2277</v>
      </c>
      <c r="J307" s="304" t="s">
        <v>87</v>
      </c>
      <c r="K307" s="307">
        <v>43405</v>
      </c>
      <c r="L307" s="309">
        <v>45657</v>
      </c>
      <c r="M307" s="306" t="s">
        <v>98</v>
      </c>
      <c r="N307" s="304" t="s">
        <v>90</v>
      </c>
      <c r="O307" s="306" t="s">
        <v>55</v>
      </c>
      <c r="P307" s="304">
        <v>1</v>
      </c>
      <c r="Q307" s="304">
        <v>1</v>
      </c>
      <c r="R307" s="304">
        <v>1</v>
      </c>
      <c r="S307" s="308">
        <v>1</v>
      </c>
    </row>
    <row r="308" spans="1:19" ht="409.6">
      <c r="A308" s="303">
        <v>303</v>
      </c>
      <c r="B308" s="304">
        <v>345</v>
      </c>
      <c r="C308" s="305" t="s">
        <v>711</v>
      </c>
      <c r="D308" s="306" t="s">
        <v>712</v>
      </c>
      <c r="E308" s="305" t="s">
        <v>778</v>
      </c>
      <c r="F308" s="306" t="s">
        <v>72</v>
      </c>
      <c r="G308" s="306" t="s">
        <v>2267</v>
      </c>
      <c r="H308" s="306" t="s">
        <v>2278</v>
      </c>
      <c r="I308" s="306" t="s">
        <v>2279</v>
      </c>
      <c r="J308" s="304" t="s">
        <v>87</v>
      </c>
      <c r="K308" s="304" t="s">
        <v>2280</v>
      </c>
      <c r="L308" s="309">
        <v>45657</v>
      </c>
      <c r="M308" s="306" t="s">
        <v>98</v>
      </c>
      <c r="N308" s="304" t="s">
        <v>96</v>
      </c>
      <c r="O308" s="306" t="s">
        <v>55</v>
      </c>
      <c r="P308" s="304">
        <v>1</v>
      </c>
      <c r="Q308" s="304">
        <v>1</v>
      </c>
      <c r="R308" s="304">
        <v>1</v>
      </c>
      <c r="S308" s="308">
        <v>1</v>
      </c>
    </row>
    <row r="309" spans="1:19" ht="350">
      <c r="A309" s="303">
        <v>304</v>
      </c>
      <c r="B309" s="304">
        <v>346</v>
      </c>
      <c r="C309" s="305" t="s">
        <v>711</v>
      </c>
      <c r="D309" s="306" t="s">
        <v>712</v>
      </c>
      <c r="E309" s="305" t="s">
        <v>778</v>
      </c>
      <c r="F309" s="306" t="s">
        <v>72</v>
      </c>
      <c r="G309" s="306" t="s">
        <v>2267</v>
      </c>
      <c r="H309" s="306" t="s">
        <v>2281</v>
      </c>
      <c r="I309" s="306" t="s">
        <v>2282</v>
      </c>
      <c r="J309" s="304" t="s">
        <v>87</v>
      </c>
      <c r="K309" s="304" t="s">
        <v>2280</v>
      </c>
      <c r="L309" s="309">
        <v>45657</v>
      </c>
      <c r="M309" s="306" t="s">
        <v>211</v>
      </c>
      <c r="N309" s="304" t="s">
        <v>96</v>
      </c>
      <c r="O309" s="306" t="s">
        <v>55</v>
      </c>
      <c r="P309" s="304">
        <v>1</v>
      </c>
      <c r="Q309" s="304">
        <v>1</v>
      </c>
      <c r="R309" s="304">
        <v>1</v>
      </c>
      <c r="S309" s="308">
        <v>1</v>
      </c>
    </row>
    <row r="310" spans="1:19" ht="284">
      <c r="A310" s="303">
        <v>305</v>
      </c>
      <c r="B310" s="304">
        <v>347</v>
      </c>
      <c r="C310" s="305" t="s">
        <v>711</v>
      </c>
      <c r="D310" s="306" t="s">
        <v>712</v>
      </c>
      <c r="E310" s="305" t="s">
        <v>778</v>
      </c>
      <c r="F310" s="306" t="s">
        <v>72</v>
      </c>
      <c r="G310" s="306" t="s">
        <v>2267</v>
      </c>
      <c r="H310" s="306" t="s">
        <v>1439</v>
      </c>
      <c r="I310" s="306" t="s">
        <v>2283</v>
      </c>
      <c r="J310" s="304" t="s">
        <v>87</v>
      </c>
      <c r="K310" s="307">
        <v>43405</v>
      </c>
      <c r="L310" s="309">
        <v>45657</v>
      </c>
      <c r="M310" s="306" t="s">
        <v>207</v>
      </c>
      <c r="N310" s="304" t="s">
        <v>96</v>
      </c>
      <c r="O310" s="306" t="s">
        <v>55</v>
      </c>
      <c r="P310" s="304">
        <v>1</v>
      </c>
      <c r="Q310" s="304">
        <v>1</v>
      </c>
      <c r="R310" s="304">
        <v>1</v>
      </c>
      <c r="S310" s="308">
        <v>1</v>
      </c>
    </row>
    <row r="311" spans="1:19" ht="372">
      <c r="A311" s="303">
        <v>306</v>
      </c>
      <c r="B311" s="304">
        <v>348</v>
      </c>
      <c r="C311" s="305" t="s">
        <v>711</v>
      </c>
      <c r="D311" s="306" t="s">
        <v>712</v>
      </c>
      <c r="E311" s="305" t="s">
        <v>778</v>
      </c>
      <c r="F311" s="306" t="s">
        <v>72</v>
      </c>
      <c r="G311" s="306" t="s">
        <v>2267</v>
      </c>
      <c r="H311" s="306" t="s">
        <v>1444</v>
      </c>
      <c r="I311" s="306" t="s">
        <v>2284</v>
      </c>
      <c r="J311" s="304" t="s">
        <v>87</v>
      </c>
      <c r="K311" s="307">
        <v>43405</v>
      </c>
      <c r="L311" s="309">
        <v>45657</v>
      </c>
      <c r="M311" s="306" t="s">
        <v>98</v>
      </c>
      <c r="N311" s="304" t="s">
        <v>96</v>
      </c>
      <c r="O311" s="306" t="s">
        <v>57</v>
      </c>
      <c r="P311" s="304">
        <v>1</v>
      </c>
      <c r="Q311" s="304">
        <v>1</v>
      </c>
      <c r="R311" s="304">
        <v>1</v>
      </c>
      <c r="S311" s="308">
        <v>1</v>
      </c>
    </row>
    <row r="312" spans="1:19" ht="409.6">
      <c r="A312" s="303">
        <v>307</v>
      </c>
      <c r="B312" s="304">
        <v>349</v>
      </c>
      <c r="C312" s="305" t="s">
        <v>711</v>
      </c>
      <c r="D312" s="306" t="s">
        <v>712</v>
      </c>
      <c r="E312" s="305" t="s">
        <v>778</v>
      </c>
      <c r="F312" s="306" t="s">
        <v>72</v>
      </c>
      <c r="G312" s="306" t="s">
        <v>2267</v>
      </c>
      <c r="H312" s="306" t="s">
        <v>1448</v>
      </c>
      <c r="I312" s="306" t="s">
        <v>2285</v>
      </c>
      <c r="J312" s="304" t="s">
        <v>87</v>
      </c>
      <c r="K312" s="307">
        <v>43405</v>
      </c>
      <c r="L312" s="309">
        <v>45657</v>
      </c>
      <c r="M312" s="306" t="s">
        <v>89</v>
      </c>
      <c r="N312" s="304" t="s">
        <v>90</v>
      </c>
      <c r="O312" s="306" t="s">
        <v>55</v>
      </c>
      <c r="P312" s="304">
        <v>1</v>
      </c>
      <c r="Q312" s="304">
        <v>1</v>
      </c>
      <c r="R312" s="304">
        <v>1</v>
      </c>
      <c r="S312" s="308">
        <v>1</v>
      </c>
    </row>
    <row r="313" spans="1:19" ht="295">
      <c r="A313" s="303">
        <v>308</v>
      </c>
      <c r="B313" s="304">
        <v>350</v>
      </c>
      <c r="C313" s="305" t="s">
        <v>711</v>
      </c>
      <c r="D313" s="306" t="s">
        <v>712</v>
      </c>
      <c r="E313" s="305" t="s">
        <v>778</v>
      </c>
      <c r="F313" s="306" t="s">
        <v>72</v>
      </c>
      <c r="G313" s="306" t="s">
        <v>2267</v>
      </c>
      <c r="H313" s="306" t="s">
        <v>1451</v>
      </c>
      <c r="I313" s="306" t="s">
        <v>2286</v>
      </c>
      <c r="J313" s="304" t="s">
        <v>87</v>
      </c>
      <c r="K313" s="307">
        <v>43405</v>
      </c>
      <c r="L313" s="309">
        <v>44196</v>
      </c>
      <c r="M313" s="306" t="s">
        <v>89</v>
      </c>
      <c r="N313" s="304" t="s">
        <v>90</v>
      </c>
      <c r="O313" s="306" t="s">
        <v>71</v>
      </c>
      <c r="P313" s="304">
        <v>1</v>
      </c>
      <c r="Q313" s="304">
        <v>1</v>
      </c>
      <c r="R313" s="304">
        <v>1</v>
      </c>
      <c r="S313" s="308">
        <v>1</v>
      </c>
    </row>
    <row r="314" spans="1:19" ht="168">
      <c r="A314" s="303">
        <v>309</v>
      </c>
      <c r="B314" s="304">
        <v>351</v>
      </c>
      <c r="C314" s="305" t="s">
        <v>711</v>
      </c>
      <c r="D314" s="306" t="s">
        <v>712</v>
      </c>
      <c r="E314" s="305" t="s">
        <v>778</v>
      </c>
      <c r="F314" s="306" t="s">
        <v>72</v>
      </c>
      <c r="G314" s="306" t="s">
        <v>2267</v>
      </c>
      <c r="H314" s="306" t="s">
        <v>1454</v>
      </c>
      <c r="I314" s="306" t="s">
        <v>2287</v>
      </c>
      <c r="J314" s="304" t="s">
        <v>87</v>
      </c>
      <c r="K314" s="307">
        <v>43405</v>
      </c>
      <c r="L314" s="309">
        <v>45657</v>
      </c>
      <c r="M314" s="306" t="s">
        <v>211</v>
      </c>
      <c r="N314" s="304" t="s">
        <v>96</v>
      </c>
      <c r="O314" s="306" t="s">
        <v>55</v>
      </c>
      <c r="P314" s="304">
        <v>1</v>
      </c>
      <c r="Q314" s="304">
        <v>1</v>
      </c>
      <c r="R314" s="304">
        <v>1</v>
      </c>
      <c r="S314" s="308">
        <v>1</v>
      </c>
    </row>
    <row r="315" spans="1:19" ht="306">
      <c r="A315" s="303">
        <v>310</v>
      </c>
      <c r="B315" s="304">
        <v>352</v>
      </c>
      <c r="C315" s="305" t="s">
        <v>711</v>
      </c>
      <c r="D315" s="306" t="s">
        <v>712</v>
      </c>
      <c r="E315" s="305" t="s">
        <v>778</v>
      </c>
      <c r="F315" s="306" t="s">
        <v>72</v>
      </c>
      <c r="G315" s="306" t="s">
        <v>2267</v>
      </c>
      <c r="H315" s="306" t="s">
        <v>1457</v>
      </c>
      <c r="I315" s="306" t="s">
        <v>2288</v>
      </c>
      <c r="J315" s="304" t="s">
        <v>87</v>
      </c>
      <c r="K315" s="307">
        <v>43405</v>
      </c>
      <c r="L315" s="309">
        <v>45657</v>
      </c>
      <c r="M315" s="306" t="s">
        <v>221</v>
      </c>
      <c r="N315" s="304" t="s">
        <v>90</v>
      </c>
      <c r="O315" s="306" t="s">
        <v>55</v>
      </c>
      <c r="P315" s="304">
        <v>1</v>
      </c>
      <c r="Q315" s="304">
        <v>1</v>
      </c>
      <c r="R315" s="304">
        <v>1</v>
      </c>
      <c r="S315" s="308">
        <v>1</v>
      </c>
    </row>
    <row r="316" spans="1:19" ht="409.6">
      <c r="A316" s="303">
        <v>311</v>
      </c>
      <c r="B316" s="304">
        <v>353</v>
      </c>
      <c r="C316" s="305" t="s">
        <v>711</v>
      </c>
      <c r="D316" s="306" t="s">
        <v>712</v>
      </c>
      <c r="E316" s="305" t="s">
        <v>778</v>
      </c>
      <c r="F316" s="306" t="s">
        <v>72</v>
      </c>
      <c r="G316" s="306" t="s">
        <v>2267</v>
      </c>
      <c r="H316" s="306" t="s">
        <v>1322</v>
      </c>
      <c r="I316" s="306" t="s">
        <v>2289</v>
      </c>
      <c r="J316" s="304" t="s">
        <v>87</v>
      </c>
      <c r="K316" s="307">
        <v>43405</v>
      </c>
      <c r="L316" s="309">
        <v>43830</v>
      </c>
      <c r="M316" s="306" t="s">
        <v>214</v>
      </c>
      <c r="N316" s="304" t="s">
        <v>90</v>
      </c>
      <c r="O316" s="306" t="s">
        <v>71</v>
      </c>
      <c r="P316" s="304">
        <v>1</v>
      </c>
      <c r="Q316" s="304">
        <v>1</v>
      </c>
      <c r="R316" s="304">
        <v>1</v>
      </c>
      <c r="S316" s="308">
        <v>1</v>
      </c>
    </row>
    <row r="317" spans="1:19" ht="409.6">
      <c r="A317" s="303">
        <v>312</v>
      </c>
      <c r="B317" s="304">
        <v>354</v>
      </c>
      <c r="C317" s="305" t="s">
        <v>711</v>
      </c>
      <c r="D317" s="306" t="s">
        <v>712</v>
      </c>
      <c r="E317" s="305" t="s">
        <v>780</v>
      </c>
      <c r="F317" s="306" t="s">
        <v>50</v>
      </c>
      <c r="G317" s="306" t="s">
        <v>2290</v>
      </c>
      <c r="H317" s="306" t="s">
        <v>1274</v>
      </c>
      <c r="I317" s="306" t="s">
        <v>2291</v>
      </c>
      <c r="J317" s="304" t="s">
        <v>87</v>
      </c>
      <c r="K317" s="307">
        <v>43466</v>
      </c>
      <c r="L317" s="309">
        <v>43830</v>
      </c>
      <c r="M317" s="306" t="s">
        <v>209</v>
      </c>
      <c r="N317" s="304" t="s">
        <v>90</v>
      </c>
      <c r="O317" s="306" t="s">
        <v>23</v>
      </c>
      <c r="P317" s="304">
        <v>1</v>
      </c>
      <c r="Q317" s="304">
        <v>1</v>
      </c>
      <c r="R317" s="304">
        <v>1</v>
      </c>
      <c r="S317" s="308">
        <v>1</v>
      </c>
    </row>
    <row r="318" spans="1:19" ht="409.6">
      <c r="A318" s="303">
        <v>313</v>
      </c>
      <c r="B318" s="304">
        <v>355</v>
      </c>
      <c r="C318" s="305" t="s">
        <v>711</v>
      </c>
      <c r="D318" s="306" t="s">
        <v>712</v>
      </c>
      <c r="E318" s="305" t="s">
        <v>780</v>
      </c>
      <c r="F318" s="306" t="s">
        <v>50</v>
      </c>
      <c r="G318" s="306" t="s">
        <v>2290</v>
      </c>
      <c r="H318" s="306" t="s">
        <v>2292</v>
      </c>
      <c r="I318" s="306" t="s">
        <v>2293</v>
      </c>
      <c r="J318" s="304" t="s">
        <v>87</v>
      </c>
      <c r="K318" s="307">
        <v>43466</v>
      </c>
      <c r="L318" s="309">
        <v>45657</v>
      </c>
      <c r="M318" s="306" t="s">
        <v>205</v>
      </c>
      <c r="N318" s="304" t="s">
        <v>96</v>
      </c>
      <c r="O318" s="306" t="s">
        <v>23</v>
      </c>
      <c r="P318" s="304">
        <v>1</v>
      </c>
      <c r="Q318" s="304">
        <v>1</v>
      </c>
      <c r="R318" s="304">
        <v>1</v>
      </c>
      <c r="S318" s="308">
        <v>1</v>
      </c>
    </row>
    <row r="319" spans="1:19" ht="383">
      <c r="A319" s="303">
        <v>314</v>
      </c>
      <c r="B319" s="304">
        <v>356</v>
      </c>
      <c r="C319" s="305" t="s">
        <v>711</v>
      </c>
      <c r="D319" s="306" t="s">
        <v>712</v>
      </c>
      <c r="E319" s="305" t="s">
        <v>780</v>
      </c>
      <c r="F319" s="306" t="s">
        <v>50</v>
      </c>
      <c r="G319" s="306" t="s">
        <v>2290</v>
      </c>
      <c r="H319" s="306" t="s">
        <v>2294</v>
      </c>
      <c r="I319" s="306" t="s">
        <v>2295</v>
      </c>
      <c r="J319" s="304" t="s">
        <v>87</v>
      </c>
      <c r="K319" s="307">
        <v>43466</v>
      </c>
      <c r="L319" s="309">
        <v>45657</v>
      </c>
      <c r="M319" s="306" t="s">
        <v>89</v>
      </c>
      <c r="N319" s="304" t="s">
        <v>90</v>
      </c>
      <c r="O319" s="306" t="s">
        <v>23</v>
      </c>
      <c r="P319" s="304">
        <v>1</v>
      </c>
      <c r="Q319" s="304">
        <v>1</v>
      </c>
      <c r="R319" s="304">
        <v>1</v>
      </c>
      <c r="S319" s="308">
        <v>1</v>
      </c>
    </row>
    <row r="320" spans="1:19" ht="409.6">
      <c r="A320" s="303">
        <v>315</v>
      </c>
      <c r="B320" s="304">
        <v>357</v>
      </c>
      <c r="C320" s="305" t="s">
        <v>711</v>
      </c>
      <c r="D320" s="306" t="s">
        <v>712</v>
      </c>
      <c r="E320" s="305" t="s">
        <v>780</v>
      </c>
      <c r="F320" s="306" t="s">
        <v>50</v>
      </c>
      <c r="G320" s="306" t="s">
        <v>2290</v>
      </c>
      <c r="H320" s="306" t="s">
        <v>1322</v>
      </c>
      <c r="I320" s="306" t="s">
        <v>2289</v>
      </c>
      <c r="J320" s="304" t="s">
        <v>97</v>
      </c>
      <c r="K320" s="307">
        <v>43405</v>
      </c>
      <c r="L320" s="309">
        <v>43830</v>
      </c>
      <c r="M320" s="306" t="s">
        <v>214</v>
      </c>
      <c r="N320" s="304" t="s">
        <v>90</v>
      </c>
      <c r="O320" s="306" t="s">
        <v>71</v>
      </c>
      <c r="P320" s="304">
        <v>1</v>
      </c>
      <c r="Q320" s="304">
        <v>1</v>
      </c>
      <c r="R320" s="304">
        <v>1</v>
      </c>
      <c r="S320" s="308">
        <v>1</v>
      </c>
    </row>
    <row r="321" spans="1:19" ht="350">
      <c r="A321" s="303">
        <v>316</v>
      </c>
      <c r="B321" s="304">
        <v>358</v>
      </c>
      <c r="C321" s="305" t="s">
        <v>711</v>
      </c>
      <c r="D321" s="306" t="s">
        <v>712</v>
      </c>
      <c r="E321" s="305" t="s">
        <v>782</v>
      </c>
      <c r="F321" s="306" t="s">
        <v>74</v>
      </c>
      <c r="G321" s="306" t="s">
        <v>1587</v>
      </c>
      <c r="H321" s="306" t="s">
        <v>1588</v>
      </c>
      <c r="I321" s="306" t="s">
        <v>2296</v>
      </c>
      <c r="J321" s="304" t="s">
        <v>87</v>
      </c>
      <c r="K321" s="307">
        <v>43405</v>
      </c>
      <c r="L321" s="309">
        <v>45657</v>
      </c>
      <c r="M321" s="306" t="s">
        <v>98</v>
      </c>
      <c r="N321" s="304" t="s">
        <v>96</v>
      </c>
      <c r="O321" s="306" t="s">
        <v>51</v>
      </c>
      <c r="P321" s="304">
        <v>1</v>
      </c>
      <c r="Q321" s="304">
        <v>1</v>
      </c>
      <c r="R321" s="304">
        <v>1</v>
      </c>
      <c r="S321" s="308">
        <v>1</v>
      </c>
    </row>
    <row r="322" spans="1:19" ht="409.6">
      <c r="A322" s="303">
        <v>317</v>
      </c>
      <c r="B322" s="304">
        <v>359</v>
      </c>
      <c r="C322" s="305" t="s">
        <v>711</v>
      </c>
      <c r="D322" s="306" t="s">
        <v>712</v>
      </c>
      <c r="E322" s="305" t="s">
        <v>782</v>
      </c>
      <c r="F322" s="306" t="s">
        <v>74</v>
      </c>
      <c r="G322" s="306" t="s">
        <v>1587</v>
      </c>
      <c r="H322" s="306" t="s">
        <v>1596</v>
      </c>
      <c r="I322" s="306" t="s">
        <v>2297</v>
      </c>
      <c r="J322" s="304" t="s">
        <v>87</v>
      </c>
      <c r="K322" s="307">
        <v>43405</v>
      </c>
      <c r="L322" s="309">
        <v>43830</v>
      </c>
      <c r="M322" s="306" t="s">
        <v>89</v>
      </c>
      <c r="N322" s="304" t="s">
        <v>90</v>
      </c>
      <c r="O322" s="306" t="s">
        <v>51</v>
      </c>
      <c r="P322" s="304">
        <v>1</v>
      </c>
      <c r="Q322" s="304">
        <v>1</v>
      </c>
      <c r="R322" s="304">
        <v>1</v>
      </c>
      <c r="S322" s="308">
        <v>1</v>
      </c>
    </row>
    <row r="323" spans="1:19" ht="409.6">
      <c r="A323" s="303">
        <v>318</v>
      </c>
      <c r="B323" s="304">
        <v>360</v>
      </c>
      <c r="C323" s="305" t="s">
        <v>711</v>
      </c>
      <c r="D323" s="306" t="s">
        <v>712</v>
      </c>
      <c r="E323" s="305" t="s">
        <v>782</v>
      </c>
      <c r="F323" s="306" t="s">
        <v>74</v>
      </c>
      <c r="G323" s="306" t="s">
        <v>1587</v>
      </c>
      <c r="H323" s="306" t="s">
        <v>1599</v>
      </c>
      <c r="I323" s="306" t="s">
        <v>2298</v>
      </c>
      <c r="J323" s="304" t="s">
        <v>87</v>
      </c>
      <c r="K323" s="307">
        <v>43405</v>
      </c>
      <c r="L323" s="309">
        <v>45657</v>
      </c>
      <c r="M323" s="306" t="s">
        <v>209</v>
      </c>
      <c r="N323" s="304" t="s">
        <v>96</v>
      </c>
      <c r="O323" s="306" t="s">
        <v>55</v>
      </c>
      <c r="P323" s="304">
        <v>1</v>
      </c>
      <c r="Q323" s="304">
        <v>1</v>
      </c>
      <c r="R323" s="304">
        <v>1</v>
      </c>
      <c r="S323" s="308">
        <v>1</v>
      </c>
    </row>
    <row r="324" spans="1:19" ht="295">
      <c r="A324" s="303">
        <v>319</v>
      </c>
      <c r="B324" s="304">
        <v>361</v>
      </c>
      <c r="C324" s="305" t="s">
        <v>711</v>
      </c>
      <c r="D324" s="306" t="s">
        <v>712</v>
      </c>
      <c r="E324" s="305" t="s">
        <v>782</v>
      </c>
      <c r="F324" s="306" t="s">
        <v>74</v>
      </c>
      <c r="G324" s="306" t="s">
        <v>1587</v>
      </c>
      <c r="H324" s="306" t="s">
        <v>1603</v>
      </c>
      <c r="I324" s="306" t="s">
        <v>2299</v>
      </c>
      <c r="J324" s="304" t="s">
        <v>87</v>
      </c>
      <c r="K324" s="307">
        <v>43405</v>
      </c>
      <c r="L324" s="309">
        <v>45657</v>
      </c>
      <c r="M324" s="306" t="s">
        <v>99</v>
      </c>
      <c r="N324" s="304" t="s">
        <v>96</v>
      </c>
      <c r="O324" s="306" t="s">
        <v>51</v>
      </c>
      <c r="P324" s="304">
        <v>1</v>
      </c>
      <c r="Q324" s="304">
        <v>1</v>
      </c>
      <c r="R324" s="304">
        <v>1</v>
      </c>
      <c r="S324" s="308">
        <v>1</v>
      </c>
    </row>
    <row r="325" spans="1:19" ht="284">
      <c r="A325" s="303">
        <v>320</v>
      </c>
      <c r="B325" s="304">
        <v>362</v>
      </c>
      <c r="C325" s="305" t="s">
        <v>711</v>
      </c>
      <c r="D325" s="306" t="s">
        <v>712</v>
      </c>
      <c r="E325" s="305" t="s">
        <v>782</v>
      </c>
      <c r="F325" s="306" t="s">
        <v>74</v>
      </c>
      <c r="G325" s="306" t="s">
        <v>1587</v>
      </c>
      <c r="H325" s="306" t="s">
        <v>1609</v>
      </c>
      <c r="I325" s="306" t="s">
        <v>2300</v>
      </c>
      <c r="J325" s="304" t="s">
        <v>87</v>
      </c>
      <c r="K325" s="307">
        <v>43405</v>
      </c>
      <c r="L325" s="309">
        <v>44926</v>
      </c>
      <c r="M325" s="306" t="s">
        <v>439</v>
      </c>
      <c r="N325" s="304" t="s">
        <v>90</v>
      </c>
      <c r="O325" s="306" t="s">
        <v>51</v>
      </c>
      <c r="P325" s="304">
        <v>1</v>
      </c>
      <c r="Q325" s="304">
        <v>1</v>
      </c>
      <c r="R325" s="304">
        <v>1</v>
      </c>
      <c r="S325" s="308">
        <v>1</v>
      </c>
    </row>
    <row r="326" spans="1:19" ht="262">
      <c r="A326" s="303">
        <v>321</v>
      </c>
      <c r="B326" s="304">
        <v>363</v>
      </c>
      <c r="C326" s="305" t="s">
        <v>711</v>
      </c>
      <c r="D326" s="306" t="s">
        <v>712</v>
      </c>
      <c r="E326" s="305" t="s">
        <v>782</v>
      </c>
      <c r="F326" s="306" t="s">
        <v>74</v>
      </c>
      <c r="G326" s="306" t="s">
        <v>1587</v>
      </c>
      <c r="H326" s="306" t="s">
        <v>1612</v>
      </c>
      <c r="I326" s="306" t="s">
        <v>2301</v>
      </c>
      <c r="J326" s="304" t="s">
        <v>87</v>
      </c>
      <c r="K326" s="307">
        <v>43405</v>
      </c>
      <c r="L326" s="309">
        <v>45657</v>
      </c>
      <c r="M326" s="306" t="s">
        <v>99</v>
      </c>
      <c r="N326" s="304" t="s">
        <v>90</v>
      </c>
      <c r="O326" s="306" t="s">
        <v>51</v>
      </c>
      <c r="P326" s="304">
        <v>1</v>
      </c>
      <c r="Q326" s="304">
        <v>1</v>
      </c>
      <c r="R326" s="304">
        <v>1</v>
      </c>
      <c r="S326" s="308">
        <v>1</v>
      </c>
    </row>
    <row r="327" spans="1:19" ht="168">
      <c r="A327" s="303">
        <v>322</v>
      </c>
      <c r="B327" s="304">
        <v>364</v>
      </c>
      <c r="C327" s="305" t="s">
        <v>711</v>
      </c>
      <c r="D327" s="306" t="s">
        <v>712</v>
      </c>
      <c r="E327" s="305" t="s">
        <v>782</v>
      </c>
      <c r="F327" s="306" t="s">
        <v>74</v>
      </c>
      <c r="G327" s="306" t="s">
        <v>1587</v>
      </c>
      <c r="H327" s="306" t="s">
        <v>1616</v>
      </c>
      <c r="I327" s="306" t="s">
        <v>2302</v>
      </c>
      <c r="J327" s="304" t="s">
        <v>87</v>
      </c>
      <c r="K327" s="307">
        <v>43405</v>
      </c>
      <c r="L327" s="309">
        <v>44196</v>
      </c>
      <c r="M327" s="306" t="s">
        <v>211</v>
      </c>
      <c r="N327" s="304" t="s">
        <v>90</v>
      </c>
      <c r="O327" s="306" t="s">
        <v>51</v>
      </c>
      <c r="P327" s="304">
        <v>1</v>
      </c>
      <c r="Q327" s="304">
        <v>1</v>
      </c>
      <c r="R327" s="304">
        <v>1</v>
      </c>
      <c r="S327" s="308">
        <v>1</v>
      </c>
    </row>
    <row r="328" spans="1:19" ht="361">
      <c r="A328" s="303">
        <v>323</v>
      </c>
      <c r="B328" s="304">
        <v>365</v>
      </c>
      <c r="C328" s="305" t="s">
        <v>711</v>
      </c>
      <c r="D328" s="306" t="s">
        <v>712</v>
      </c>
      <c r="E328" s="305" t="s">
        <v>782</v>
      </c>
      <c r="F328" s="306" t="s">
        <v>74</v>
      </c>
      <c r="G328" s="306" t="s">
        <v>1587</v>
      </c>
      <c r="H328" s="306" t="s">
        <v>1619</v>
      </c>
      <c r="I328" s="306" t="s">
        <v>2303</v>
      </c>
      <c r="J328" s="304" t="s">
        <v>87</v>
      </c>
      <c r="K328" s="307">
        <v>43405</v>
      </c>
      <c r="L328" s="309">
        <v>45657</v>
      </c>
      <c r="M328" s="306" t="s">
        <v>98</v>
      </c>
      <c r="N328" s="304" t="s">
        <v>96</v>
      </c>
      <c r="O328" s="306" t="s">
        <v>51</v>
      </c>
      <c r="P328" s="304">
        <v>1</v>
      </c>
      <c r="Q328" s="304">
        <v>1</v>
      </c>
      <c r="R328" s="304">
        <v>1</v>
      </c>
      <c r="S328" s="308">
        <v>1</v>
      </c>
    </row>
    <row r="329" spans="1:19" ht="132">
      <c r="A329" s="303">
        <v>324</v>
      </c>
      <c r="B329" s="304">
        <v>366</v>
      </c>
      <c r="C329" s="305" t="s">
        <v>711</v>
      </c>
      <c r="D329" s="306" t="s">
        <v>712</v>
      </c>
      <c r="E329" s="305" t="s">
        <v>782</v>
      </c>
      <c r="F329" s="306" t="s">
        <v>74</v>
      </c>
      <c r="G329" s="306" t="s">
        <v>1587</v>
      </c>
      <c r="H329" s="306" t="s">
        <v>1626</v>
      </c>
      <c r="I329" s="306" t="s">
        <v>2304</v>
      </c>
      <c r="J329" s="304" t="s">
        <v>87</v>
      </c>
      <c r="K329" s="307">
        <v>43405</v>
      </c>
      <c r="L329" s="307">
        <v>43891</v>
      </c>
      <c r="M329" s="306" t="s">
        <v>89</v>
      </c>
      <c r="N329" s="304" t="s">
        <v>90</v>
      </c>
      <c r="O329" s="306" t="s">
        <v>55</v>
      </c>
      <c r="P329" s="304">
        <v>1</v>
      </c>
      <c r="Q329" s="304">
        <v>1</v>
      </c>
      <c r="R329" s="304">
        <v>1</v>
      </c>
      <c r="S329" s="308">
        <v>1</v>
      </c>
    </row>
    <row r="330" spans="1:19" ht="84">
      <c r="A330" s="303">
        <v>325</v>
      </c>
      <c r="B330" s="304">
        <v>367</v>
      </c>
      <c r="C330" s="305" t="s">
        <v>711</v>
      </c>
      <c r="D330" s="306" t="s">
        <v>712</v>
      </c>
      <c r="E330" s="305" t="s">
        <v>782</v>
      </c>
      <c r="F330" s="306" t="s">
        <v>74</v>
      </c>
      <c r="G330" s="306" t="s">
        <v>1587</v>
      </c>
      <c r="H330" s="306" t="s">
        <v>1629</v>
      </c>
      <c r="I330" s="306" t="s">
        <v>2305</v>
      </c>
      <c r="J330" s="304" t="s">
        <v>87</v>
      </c>
      <c r="K330" s="307">
        <v>43405</v>
      </c>
      <c r="L330" s="307">
        <v>43922</v>
      </c>
      <c r="M330" s="306" t="s">
        <v>89</v>
      </c>
      <c r="N330" s="304" t="s">
        <v>90</v>
      </c>
      <c r="O330" s="306" t="s">
        <v>51</v>
      </c>
      <c r="P330" s="304">
        <v>1</v>
      </c>
      <c r="Q330" s="304">
        <v>1</v>
      </c>
      <c r="R330" s="304">
        <v>1</v>
      </c>
      <c r="S330" s="308">
        <v>1</v>
      </c>
    </row>
    <row r="331" spans="1:19" ht="273">
      <c r="A331" s="303">
        <v>326</v>
      </c>
      <c r="B331" s="304">
        <v>368</v>
      </c>
      <c r="C331" s="305" t="s">
        <v>711</v>
      </c>
      <c r="D331" s="306" t="s">
        <v>712</v>
      </c>
      <c r="E331" s="305" t="s">
        <v>782</v>
      </c>
      <c r="F331" s="306" t="s">
        <v>74</v>
      </c>
      <c r="G331" s="306" t="s">
        <v>1587</v>
      </c>
      <c r="H331" s="306" t="s">
        <v>1634</v>
      </c>
      <c r="I331" s="306" t="s">
        <v>2306</v>
      </c>
      <c r="J331" s="304" t="s">
        <v>87</v>
      </c>
      <c r="K331" s="307">
        <v>43405</v>
      </c>
      <c r="L331" s="309">
        <v>45657</v>
      </c>
      <c r="M331" s="306" t="s">
        <v>439</v>
      </c>
      <c r="N331" s="304" t="s">
        <v>90</v>
      </c>
      <c r="O331" s="306" t="s">
        <v>51</v>
      </c>
      <c r="P331" s="304">
        <v>1</v>
      </c>
      <c r="Q331" s="304">
        <v>1</v>
      </c>
      <c r="R331" s="304">
        <v>1</v>
      </c>
      <c r="S331" s="308">
        <v>1</v>
      </c>
    </row>
    <row r="332" spans="1:19" ht="273">
      <c r="A332" s="303">
        <v>327</v>
      </c>
      <c r="B332" s="304">
        <v>369</v>
      </c>
      <c r="C332" s="305" t="s">
        <v>711</v>
      </c>
      <c r="D332" s="306" t="s">
        <v>712</v>
      </c>
      <c r="E332" s="305" t="s">
        <v>782</v>
      </c>
      <c r="F332" s="306" t="s">
        <v>74</v>
      </c>
      <c r="G332" s="306" t="s">
        <v>1587</v>
      </c>
      <c r="H332" s="306" t="s">
        <v>1640</v>
      </c>
      <c r="I332" s="306" t="s">
        <v>2307</v>
      </c>
      <c r="J332" s="304" t="s">
        <v>87</v>
      </c>
      <c r="K332" s="307">
        <v>43405</v>
      </c>
      <c r="L332" s="309">
        <v>45657</v>
      </c>
      <c r="M332" s="306" t="s">
        <v>211</v>
      </c>
      <c r="N332" s="304" t="s">
        <v>90</v>
      </c>
      <c r="O332" s="306" t="s">
        <v>51</v>
      </c>
      <c r="P332" s="304">
        <v>1</v>
      </c>
      <c r="Q332" s="304">
        <v>1</v>
      </c>
      <c r="R332" s="304">
        <v>1</v>
      </c>
      <c r="S332" s="308">
        <v>1</v>
      </c>
    </row>
    <row r="333" spans="1:19" ht="361">
      <c r="A333" s="303">
        <v>328</v>
      </c>
      <c r="B333" s="304">
        <v>370</v>
      </c>
      <c r="C333" s="305" t="s">
        <v>711</v>
      </c>
      <c r="D333" s="306" t="s">
        <v>712</v>
      </c>
      <c r="E333" s="305" t="s">
        <v>782</v>
      </c>
      <c r="F333" s="306" t="s">
        <v>74</v>
      </c>
      <c r="G333" s="306" t="s">
        <v>1587</v>
      </c>
      <c r="H333" s="306" t="s">
        <v>1322</v>
      </c>
      <c r="I333" s="306" t="s">
        <v>2308</v>
      </c>
      <c r="J333" s="304" t="s">
        <v>87</v>
      </c>
      <c r="K333" s="307">
        <v>43405</v>
      </c>
      <c r="L333" s="309">
        <v>43830</v>
      </c>
      <c r="M333" s="306" t="s">
        <v>214</v>
      </c>
      <c r="N333" s="304" t="s">
        <v>90</v>
      </c>
      <c r="O333" s="306" t="s">
        <v>71</v>
      </c>
      <c r="P333" s="304">
        <v>1</v>
      </c>
      <c r="Q333" s="304">
        <v>1</v>
      </c>
      <c r="R333" s="304">
        <v>1</v>
      </c>
      <c r="S333" s="308">
        <v>1</v>
      </c>
    </row>
    <row r="334" spans="1:19" ht="405">
      <c r="A334" s="303">
        <v>329</v>
      </c>
      <c r="B334" s="304">
        <v>371</v>
      </c>
      <c r="C334" s="305" t="s">
        <v>711</v>
      </c>
      <c r="D334" s="306" t="s">
        <v>712</v>
      </c>
      <c r="E334" s="305" t="s">
        <v>784</v>
      </c>
      <c r="F334" s="306" t="s">
        <v>49</v>
      </c>
      <c r="G334" s="306" t="s">
        <v>2309</v>
      </c>
      <c r="H334" s="306" t="s">
        <v>1291</v>
      </c>
      <c r="I334" s="306" t="s">
        <v>2310</v>
      </c>
      <c r="J334" s="304" t="s">
        <v>87</v>
      </c>
      <c r="K334" s="307">
        <v>43405</v>
      </c>
      <c r="L334" s="309">
        <v>44561</v>
      </c>
      <c r="M334" s="306" t="s">
        <v>439</v>
      </c>
      <c r="N334" s="304" t="s">
        <v>90</v>
      </c>
      <c r="O334" s="306" t="s">
        <v>5</v>
      </c>
      <c r="P334" s="304">
        <v>1</v>
      </c>
      <c r="Q334" s="304">
        <v>1</v>
      </c>
      <c r="R334" s="304">
        <v>1</v>
      </c>
      <c r="S334" s="308">
        <v>1</v>
      </c>
    </row>
    <row r="335" spans="1:19" ht="409.6">
      <c r="A335" s="303">
        <v>330</v>
      </c>
      <c r="B335" s="304">
        <v>372</v>
      </c>
      <c r="C335" s="305" t="s">
        <v>711</v>
      </c>
      <c r="D335" s="306" t="s">
        <v>712</v>
      </c>
      <c r="E335" s="305" t="s">
        <v>784</v>
      </c>
      <c r="F335" s="306" t="s">
        <v>49</v>
      </c>
      <c r="G335" s="306" t="s">
        <v>2309</v>
      </c>
      <c r="H335" s="306" t="s">
        <v>1296</v>
      </c>
      <c r="I335" s="306" t="s">
        <v>2311</v>
      </c>
      <c r="J335" s="304" t="s">
        <v>87</v>
      </c>
      <c r="K335" s="307">
        <v>43405</v>
      </c>
      <c r="L335" s="309">
        <v>45657</v>
      </c>
      <c r="M335" s="306" t="s">
        <v>439</v>
      </c>
      <c r="N335" s="304" t="s">
        <v>90</v>
      </c>
      <c r="O335" s="306" t="s">
        <v>5</v>
      </c>
      <c r="P335" s="304">
        <v>1</v>
      </c>
      <c r="Q335" s="304">
        <v>1</v>
      </c>
      <c r="R335" s="304">
        <v>1</v>
      </c>
      <c r="S335" s="308">
        <v>1</v>
      </c>
    </row>
    <row r="336" spans="1:19" ht="409.6">
      <c r="A336" s="303">
        <v>331</v>
      </c>
      <c r="B336" s="304">
        <v>373</v>
      </c>
      <c r="C336" s="305" t="s">
        <v>711</v>
      </c>
      <c r="D336" s="306" t="s">
        <v>712</v>
      </c>
      <c r="E336" s="305" t="s">
        <v>784</v>
      </c>
      <c r="F336" s="306" t="s">
        <v>49</v>
      </c>
      <c r="G336" s="306" t="s">
        <v>2309</v>
      </c>
      <c r="H336" s="306" t="s">
        <v>1302</v>
      </c>
      <c r="I336" s="306" t="s">
        <v>2312</v>
      </c>
      <c r="J336" s="304" t="s">
        <v>87</v>
      </c>
      <c r="K336" s="307">
        <v>43405</v>
      </c>
      <c r="L336" s="309">
        <v>45657</v>
      </c>
      <c r="M336" s="306" t="s">
        <v>211</v>
      </c>
      <c r="N336" s="304" t="s">
        <v>96</v>
      </c>
      <c r="O336" s="306" t="s">
        <v>5</v>
      </c>
      <c r="P336" s="304">
        <v>1</v>
      </c>
      <c r="Q336" s="304">
        <v>1</v>
      </c>
      <c r="R336" s="304">
        <v>1</v>
      </c>
      <c r="S336" s="308">
        <v>1</v>
      </c>
    </row>
    <row r="337" spans="1:19" ht="409.6">
      <c r="A337" s="303">
        <v>332</v>
      </c>
      <c r="B337" s="304">
        <v>374</v>
      </c>
      <c r="C337" s="305" t="s">
        <v>711</v>
      </c>
      <c r="D337" s="306" t="s">
        <v>712</v>
      </c>
      <c r="E337" s="305" t="s">
        <v>784</v>
      </c>
      <c r="F337" s="306" t="s">
        <v>49</v>
      </c>
      <c r="G337" s="306" t="s">
        <v>2309</v>
      </c>
      <c r="H337" s="306" t="s">
        <v>1306</v>
      </c>
      <c r="I337" s="306" t="s">
        <v>2313</v>
      </c>
      <c r="J337" s="304" t="s">
        <v>87</v>
      </c>
      <c r="K337" s="307">
        <v>43405</v>
      </c>
      <c r="L337" s="309">
        <v>44196</v>
      </c>
      <c r="M337" s="306" t="s">
        <v>221</v>
      </c>
      <c r="N337" s="304" t="s">
        <v>90</v>
      </c>
      <c r="O337" s="306" t="s">
        <v>5</v>
      </c>
      <c r="P337" s="304">
        <v>1</v>
      </c>
      <c r="Q337" s="304">
        <v>1</v>
      </c>
      <c r="R337" s="304">
        <v>1</v>
      </c>
      <c r="S337" s="308">
        <v>1</v>
      </c>
    </row>
    <row r="338" spans="1:19" ht="394">
      <c r="A338" s="303">
        <v>333</v>
      </c>
      <c r="B338" s="304">
        <v>375</v>
      </c>
      <c r="C338" s="305" t="s">
        <v>711</v>
      </c>
      <c r="D338" s="306" t="s">
        <v>712</v>
      </c>
      <c r="E338" s="305" t="s">
        <v>784</v>
      </c>
      <c r="F338" s="306" t="s">
        <v>49</v>
      </c>
      <c r="G338" s="306" t="s">
        <v>2309</v>
      </c>
      <c r="H338" s="306" t="s">
        <v>1310</v>
      </c>
      <c r="I338" s="306" t="s">
        <v>2314</v>
      </c>
      <c r="J338" s="304" t="s">
        <v>87</v>
      </c>
      <c r="K338" s="307">
        <v>43405</v>
      </c>
      <c r="L338" s="309">
        <v>45657</v>
      </c>
      <c r="M338" s="306" t="s">
        <v>89</v>
      </c>
      <c r="N338" s="304" t="s">
        <v>96</v>
      </c>
      <c r="O338" s="306" t="s">
        <v>5</v>
      </c>
      <c r="P338" s="304">
        <v>1</v>
      </c>
      <c r="Q338" s="304">
        <v>1</v>
      </c>
      <c r="R338" s="304">
        <v>1</v>
      </c>
      <c r="S338" s="308">
        <v>1</v>
      </c>
    </row>
    <row r="339" spans="1:19" ht="409.6">
      <c r="A339" s="303">
        <v>334</v>
      </c>
      <c r="B339" s="304">
        <v>376</v>
      </c>
      <c r="C339" s="305" t="s">
        <v>711</v>
      </c>
      <c r="D339" s="306" t="s">
        <v>712</v>
      </c>
      <c r="E339" s="305" t="s">
        <v>784</v>
      </c>
      <c r="F339" s="306" t="s">
        <v>49</v>
      </c>
      <c r="G339" s="306" t="s">
        <v>2309</v>
      </c>
      <c r="H339" s="306" t="s">
        <v>1314</v>
      </c>
      <c r="I339" s="306" t="s">
        <v>2315</v>
      </c>
      <c r="J339" s="304" t="s">
        <v>87</v>
      </c>
      <c r="K339" s="307">
        <v>43405</v>
      </c>
      <c r="L339" s="309">
        <v>45657</v>
      </c>
      <c r="M339" s="306" t="s">
        <v>98</v>
      </c>
      <c r="N339" s="304" t="s">
        <v>90</v>
      </c>
      <c r="O339" s="306" t="s">
        <v>5</v>
      </c>
      <c r="P339" s="304">
        <v>1</v>
      </c>
      <c r="Q339" s="304">
        <v>1</v>
      </c>
      <c r="R339" s="304">
        <v>1</v>
      </c>
      <c r="S339" s="308">
        <v>1</v>
      </c>
    </row>
    <row r="340" spans="1:19" ht="372">
      <c r="A340" s="303">
        <v>335</v>
      </c>
      <c r="B340" s="304">
        <v>377</v>
      </c>
      <c r="C340" s="305" t="s">
        <v>711</v>
      </c>
      <c r="D340" s="306" t="s">
        <v>712</v>
      </c>
      <c r="E340" s="305" t="s">
        <v>784</v>
      </c>
      <c r="F340" s="306" t="s">
        <v>49</v>
      </c>
      <c r="G340" s="306" t="s">
        <v>2309</v>
      </c>
      <c r="H340" s="306" t="s">
        <v>1316</v>
      </c>
      <c r="I340" s="306" t="s">
        <v>2316</v>
      </c>
      <c r="J340" s="304" t="s">
        <v>87</v>
      </c>
      <c r="K340" s="307">
        <v>43405</v>
      </c>
      <c r="L340" s="309">
        <v>45657</v>
      </c>
      <c r="M340" s="306" t="s">
        <v>2317</v>
      </c>
      <c r="N340" s="304" t="s">
        <v>96</v>
      </c>
      <c r="O340" s="306" t="s">
        <v>5</v>
      </c>
      <c r="P340" s="304">
        <v>1</v>
      </c>
      <c r="Q340" s="304">
        <v>1</v>
      </c>
      <c r="R340" s="304">
        <v>1</v>
      </c>
      <c r="S340" s="308">
        <v>1</v>
      </c>
    </row>
    <row r="341" spans="1:19" ht="192">
      <c r="A341" s="303">
        <v>336</v>
      </c>
      <c r="B341" s="304">
        <v>378</v>
      </c>
      <c r="C341" s="305" t="s">
        <v>711</v>
      </c>
      <c r="D341" s="306" t="s">
        <v>712</v>
      </c>
      <c r="E341" s="305" t="s">
        <v>784</v>
      </c>
      <c r="F341" s="306" t="s">
        <v>49</v>
      </c>
      <c r="G341" s="306" t="s">
        <v>2309</v>
      </c>
      <c r="H341" s="306" t="s">
        <v>1320</v>
      </c>
      <c r="I341" s="306" t="s">
        <v>2318</v>
      </c>
      <c r="J341" s="304" t="s">
        <v>87</v>
      </c>
      <c r="K341" s="307">
        <v>43405</v>
      </c>
      <c r="L341" s="309">
        <v>45656</v>
      </c>
      <c r="M341" s="306" t="s">
        <v>207</v>
      </c>
      <c r="N341" s="304" t="s">
        <v>90</v>
      </c>
      <c r="O341" s="306" t="s">
        <v>5</v>
      </c>
      <c r="P341" s="304">
        <v>1</v>
      </c>
      <c r="Q341" s="304">
        <v>1</v>
      </c>
      <c r="R341" s="304">
        <v>1</v>
      </c>
      <c r="S341" s="308">
        <v>1</v>
      </c>
    </row>
    <row r="342" spans="1:19" ht="409.6">
      <c r="A342" s="303">
        <v>337</v>
      </c>
      <c r="B342" s="304">
        <v>379</v>
      </c>
      <c r="C342" s="305" t="s">
        <v>711</v>
      </c>
      <c r="D342" s="306" t="s">
        <v>712</v>
      </c>
      <c r="E342" s="305" t="s">
        <v>784</v>
      </c>
      <c r="F342" s="306" t="s">
        <v>49</v>
      </c>
      <c r="G342" s="306" t="s">
        <v>2309</v>
      </c>
      <c r="H342" s="306" t="s">
        <v>1322</v>
      </c>
      <c r="I342" s="306" t="s">
        <v>2289</v>
      </c>
      <c r="J342" s="304" t="s">
        <v>97</v>
      </c>
      <c r="K342" s="307">
        <v>43405</v>
      </c>
      <c r="L342" s="309">
        <v>43830</v>
      </c>
      <c r="M342" s="306" t="s">
        <v>214</v>
      </c>
      <c r="N342" s="304" t="s">
        <v>90</v>
      </c>
      <c r="O342" s="306" t="s">
        <v>71</v>
      </c>
      <c r="P342" s="304">
        <v>1</v>
      </c>
      <c r="Q342" s="304">
        <v>1</v>
      </c>
      <c r="R342" s="304">
        <v>1</v>
      </c>
      <c r="S342" s="308">
        <v>1</v>
      </c>
    </row>
    <row r="343" spans="1:19" ht="405">
      <c r="A343" s="303">
        <v>338</v>
      </c>
      <c r="B343" s="304">
        <v>380</v>
      </c>
      <c r="C343" s="305" t="s">
        <v>711</v>
      </c>
      <c r="D343" s="306" t="s">
        <v>712</v>
      </c>
      <c r="E343" s="305" t="s">
        <v>786</v>
      </c>
      <c r="F343" s="306" t="s">
        <v>54</v>
      </c>
      <c r="G343" s="306" t="s">
        <v>2319</v>
      </c>
      <c r="H343" s="306" t="s">
        <v>1469</v>
      </c>
      <c r="I343" s="306" t="s">
        <v>2320</v>
      </c>
      <c r="J343" s="304" t="s">
        <v>87</v>
      </c>
      <c r="K343" s="307">
        <v>43405</v>
      </c>
      <c r="L343" s="307">
        <v>43855</v>
      </c>
      <c r="M343" s="306" t="s">
        <v>207</v>
      </c>
      <c r="N343" s="304" t="s">
        <v>96</v>
      </c>
      <c r="O343" s="306" t="s">
        <v>71</v>
      </c>
      <c r="P343" s="304">
        <v>1</v>
      </c>
      <c r="Q343" s="304">
        <v>1</v>
      </c>
      <c r="R343" s="304">
        <v>1</v>
      </c>
      <c r="S343" s="308">
        <v>1</v>
      </c>
    </row>
    <row r="344" spans="1:19" ht="409.6">
      <c r="A344" s="303">
        <v>339</v>
      </c>
      <c r="B344" s="304">
        <v>381</v>
      </c>
      <c r="C344" s="305" t="s">
        <v>711</v>
      </c>
      <c r="D344" s="306" t="s">
        <v>712</v>
      </c>
      <c r="E344" s="305" t="s">
        <v>786</v>
      </c>
      <c r="F344" s="306" t="s">
        <v>54</v>
      </c>
      <c r="G344" s="306" t="s">
        <v>2319</v>
      </c>
      <c r="H344" s="306" t="s">
        <v>1473</v>
      </c>
      <c r="I344" s="306" t="s">
        <v>2321</v>
      </c>
      <c r="J344" s="304" t="s">
        <v>87</v>
      </c>
      <c r="K344" s="307">
        <v>43405</v>
      </c>
      <c r="L344" s="309">
        <v>45657</v>
      </c>
      <c r="M344" s="306" t="s">
        <v>211</v>
      </c>
      <c r="N344" s="304" t="s">
        <v>96</v>
      </c>
      <c r="O344" s="306" t="s">
        <v>71</v>
      </c>
      <c r="P344" s="304">
        <v>1</v>
      </c>
      <c r="Q344" s="304">
        <v>1</v>
      </c>
      <c r="R344" s="304">
        <v>1</v>
      </c>
      <c r="S344" s="308">
        <v>1</v>
      </c>
    </row>
    <row r="345" spans="1:19" ht="409.6">
      <c r="A345" s="303">
        <v>340</v>
      </c>
      <c r="B345" s="304">
        <v>382</v>
      </c>
      <c r="C345" s="305" t="s">
        <v>711</v>
      </c>
      <c r="D345" s="306" t="s">
        <v>712</v>
      </c>
      <c r="E345" s="305" t="s">
        <v>786</v>
      </c>
      <c r="F345" s="306" t="s">
        <v>54</v>
      </c>
      <c r="G345" s="306" t="s">
        <v>2319</v>
      </c>
      <c r="H345" s="306" t="s">
        <v>1476</v>
      </c>
      <c r="I345" s="306" t="s">
        <v>2322</v>
      </c>
      <c r="J345" s="304" t="s">
        <v>87</v>
      </c>
      <c r="K345" s="307">
        <v>43405</v>
      </c>
      <c r="L345" s="309">
        <v>45657</v>
      </c>
      <c r="M345" s="306" t="s">
        <v>99</v>
      </c>
      <c r="N345" s="304" t="s">
        <v>96</v>
      </c>
      <c r="O345" s="306" t="s">
        <v>51</v>
      </c>
      <c r="P345" s="304">
        <v>1</v>
      </c>
      <c r="Q345" s="304">
        <v>1</v>
      </c>
      <c r="R345" s="304">
        <v>1</v>
      </c>
      <c r="S345" s="308">
        <v>1</v>
      </c>
    </row>
    <row r="346" spans="1:19" ht="409.6">
      <c r="A346" s="303">
        <v>341</v>
      </c>
      <c r="B346" s="304">
        <v>383</v>
      </c>
      <c r="C346" s="305" t="s">
        <v>711</v>
      </c>
      <c r="D346" s="306" t="s">
        <v>712</v>
      </c>
      <c r="E346" s="305" t="s">
        <v>786</v>
      </c>
      <c r="F346" s="306" t="s">
        <v>54</v>
      </c>
      <c r="G346" s="306" t="s">
        <v>2319</v>
      </c>
      <c r="H346" s="306" t="s">
        <v>1480</v>
      </c>
      <c r="I346" s="306" t="s">
        <v>2323</v>
      </c>
      <c r="J346" s="304" t="s">
        <v>87</v>
      </c>
      <c r="K346" s="307">
        <v>43405</v>
      </c>
      <c r="L346" s="309">
        <v>45657</v>
      </c>
      <c r="M346" s="306" t="s">
        <v>205</v>
      </c>
      <c r="N346" s="304" t="s">
        <v>96</v>
      </c>
      <c r="O346" s="306" t="s">
        <v>51</v>
      </c>
      <c r="P346" s="304">
        <v>1</v>
      </c>
      <c r="Q346" s="304">
        <v>1</v>
      </c>
      <c r="R346" s="304">
        <v>1</v>
      </c>
      <c r="S346" s="308">
        <v>1</v>
      </c>
    </row>
    <row r="347" spans="1:19" ht="350">
      <c r="A347" s="303">
        <v>342</v>
      </c>
      <c r="B347" s="304">
        <v>384</v>
      </c>
      <c r="C347" s="305" t="s">
        <v>711</v>
      </c>
      <c r="D347" s="306" t="s">
        <v>712</v>
      </c>
      <c r="E347" s="305" t="s">
        <v>786</v>
      </c>
      <c r="F347" s="306" t="s">
        <v>54</v>
      </c>
      <c r="G347" s="306" t="s">
        <v>2319</v>
      </c>
      <c r="H347" s="306" t="s">
        <v>1484</v>
      </c>
      <c r="I347" s="306" t="s">
        <v>2324</v>
      </c>
      <c r="J347" s="304" t="s">
        <v>87</v>
      </c>
      <c r="K347" s="307">
        <v>43405</v>
      </c>
      <c r="L347" s="309">
        <v>44561</v>
      </c>
      <c r="M347" s="306" t="s">
        <v>89</v>
      </c>
      <c r="N347" s="304" t="s">
        <v>90</v>
      </c>
      <c r="O347" s="306" t="s">
        <v>51</v>
      </c>
      <c r="P347" s="304">
        <v>1</v>
      </c>
      <c r="Q347" s="304">
        <v>1</v>
      </c>
      <c r="R347" s="304">
        <v>1</v>
      </c>
      <c r="S347" s="308">
        <v>1</v>
      </c>
    </row>
    <row r="348" spans="1:19" ht="273">
      <c r="A348" s="303">
        <v>343</v>
      </c>
      <c r="B348" s="304">
        <v>385</v>
      </c>
      <c r="C348" s="305" t="s">
        <v>711</v>
      </c>
      <c r="D348" s="306" t="s">
        <v>712</v>
      </c>
      <c r="E348" s="305" t="s">
        <v>786</v>
      </c>
      <c r="F348" s="306" t="s">
        <v>54</v>
      </c>
      <c r="G348" s="306" t="s">
        <v>2319</v>
      </c>
      <c r="H348" s="306" t="s">
        <v>1486</v>
      </c>
      <c r="I348" s="306" t="s">
        <v>2325</v>
      </c>
      <c r="J348" s="304" t="s">
        <v>87</v>
      </c>
      <c r="K348" s="307">
        <v>43405</v>
      </c>
      <c r="L348" s="309">
        <v>43830</v>
      </c>
      <c r="M348" s="306" t="s">
        <v>89</v>
      </c>
      <c r="N348" s="304" t="s">
        <v>90</v>
      </c>
      <c r="O348" s="306" t="s">
        <v>51</v>
      </c>
      <c r="P348" s="304">
        <v>1</v>
      </c>
      <c r="Q348" s="304">
        <v>1</v>
      </c>
      <c r="R348" s="304">
        <v>1</v>
      </c>
      <c r="S348" s="308">
        <v>1</v>
      </c>
    </row>
    <row r="349" spans="1:19" ht="409.6">
      <c r="A349" s="303">
        <v>344</v>
      </c>
      <c r="B349" s="304">
        <v>386</v>
      </c>
      <c r="C349" s="305" t="s">
        <v>711</v>
      </c>
      <c r="D349" s="306" t="s">
        <v>712</v>
      </c>
      <c r="E349" s="305" t="s">
        <v>786</v>
      </c>
      <c r="F349" s="306" t="s">
        <v>54</v>
      </c>
      <c r="G349" s="306" t="s">
        <v>2319</v>
      </c>
      <c r="H349" s="306" t="s">
        <v>1488</v>
      </c>
      <c r="I349" s="306" t="s">
        <v>2326</v>
      </c>
      <c r="J349" s="304" t="s">
        <v>87</v>
      </c>
      <c r="K349" s="307">
        <v>43405</v>
      </c>
      <c r="L349" s="307">
        <v>45474</v>
      </c>
      <c r="M349" s="306" t="s">
        <v>89</v>
      </c>
      <c r="N349" s="304" t="s">
        <v>90</v>
      </c>
      <c r="O349" s="306" t="s">
        <v>51</v>
      </c>
      <c r="P349" s="304">
        <v>1</v>
      </c>
      <c r="Q349" s="304">
        <v>1</v>
      </c>
      <c r="R349" s="304">
        <v>1</v>
      </c>
      <c r="S349" s="308">
        <v>1</v>
      </c>
    </row>
    <row r="350" spans="1:19" ht="295">
      <c r="A350" s="303">
        <v>345</v>
      </c>
      <c r="B350" s="304">
        <v>387</v>
      </c>
      <c r="C350" s="305" t="s">
        <v>711</v>
      </c>
      <c r="D350" s="306" t="s">
        <v>712</v>
      </c>
      <c r="E350" s="305" t="s">
        <v>786</v>
      </c>
      <c r="F350" s="306" t="s">
        <v>54</v>
      </c>
      <c r="G350" s="306" t="s">
        <v>2319</v>
      </c>
      <c r="H350" s="306" t="s">
        <v>1493</v>
      </c>
      <c r="I350" s="306" t="s">
        <v>2327</v>
      </c>
      <c r="J350" s="304" t="s">
        <v>87</v>
      </c>
      <c r="K350" s="307">
        <v>43405</v>
      </c>
      <c r="L350" s="309">
        <v>45656</v>
      </c>
      <c r="M350" s="306" t="s">
        <v>99</v>
      </c>
      <c r="N350" s="304" t="s">
        <v>90</v>
      </c>
      <c r="O350" s="306" t="s">
        <v>51</v>
      </c>
      <c r="P350" s="304">
        <v>1</v>
      </c>
      <c r="Q350" s="304">
        <v>1</v>
      </c>
      <c r="R350" s="304">
        <v>1</v>
      </c>
      <c r="S350" s="308">
        <v>1</v>
      </c>
    </row>
    <row r="351" spans="1:19" ht="350">
      <c r="A351" s="303">
        <v>346</v>
      </c>
      <c r="B351" s="304">
        <v>388</v>
      </c>
      <c r="C351" s="305" t="s">
        <v>711</v>
      </c>
      <c r="D351" s="306" t="s">
        <v>712</v>
      </c>
      <c r="E351" s="305" t="s">
        <v>786</v>
      </c>
      <c r="F351" s="306" t="s">
        <v>54</v>
      </c>
      <c r="G351" s="306" t="s">
        <v>2319</v>
      </c>
      <c r="H351" s="306" t="s">
        <v>1495</v>
      </c>
      <c r="I351" s="306" t="s">
        <v>2328</v>
      </c>
      <c r="J351" s="304" t="s">
        <v>87</v>
      </c>
      <c r="K351" s="307">
        <v>43405</v>
      </c>
      <c r="L351" s="309">
        <v>45657</v>
      </c>
      <c r="M351" s="306" t="s">
        <v>211</v>
      </c>
      <c r="N351" s="304" t="s">
        <v>90</v>
      </c>
      <c r="O351" s="306" t="s">
        <v>55</v>
      </c>
      <c r="P351" s="304">
        <v>1</v>
      </c>
      <c r="Q351" s="304">
        <v>1</v>
      </c>
      <c r="R351" s="304">
        <v>1</v>
      </c>
      <c r="S351" s="308">
        <v>1</v>
      </c>
    </row>
    <row r="352" spans="1:19" ht="273">
      <c r="A352" s="303">
        <v>347</v>
      </c>
      <c r="B352" s="304">
        <v>389</v>
      </c>
      <c r="C352" s="305" t="s">
        <v>711</v>
      </c>
      <c r="D352" s="306" t="s">
        <v>712</v>
      </c>
      <c r="E352" s="305" t="s">
        <v>786</v>
      </c>
      <c r="F352" s="306" t="s">
        <v>54</v>
      </c>
      <c r="G352" s="306" t="s">
        <v>2319</v>
      </c>
      <c r="H352" s="306" t="s">
        <v>1497</v>
      </c>
      <c r="I352" s="306" t="s">
        <v>2329</v>
      </c>
      <c r="J352" s="304" t="s">
        <v>87</v>
      </c>
      <c r="K352" s="307">
        <v>43405</v>
      </c>
      <c r="L352" s="309">
        <v>45657</v>
      </c>
      <c r="M352" s="306" t="s">
        <v>211</v>
      </c>
      <c r="N352" s="304" t="s">
        <v>96</v>
      </c>
      <c r="O352" s="306" t="s">
        <v>51</v>
      </c>
      <c r="P352" s="304">
        <v>1</v>
      </c>
      <c r="Q352" s="304">
        <v>1</v>
      </c>
      <c r="R352" s="304">
        <v>1</v>
      </c>
      <c r="S352" s="308">
        <v>1</v>
      </c>
    </row>
    <row r="353" spans="1:19" ht="383">
      <c r="A353" s="303">
        <v>348</v>
      </c>
      <c r="B353" s="304">
        <v>390</v>
      </c>
      <c r="C353" s="305" t="s">
        <v>711</v>
      </c>
      <c r="D353" s="306" t="s">
        <v>712</v>
      </c>
      <c r="E353" s="305" t="s">
        <v>786</v>
      </c>
      <c r="F353" s="306" t="s">
        <v>54</v>
      </c>
      <c r="G353" s="306" t="s">
        <v>2319</v>
      </c>
      <c r="H353" s="306" t="s">
        <v>1501</v>
      </c>
      <c r="I353" s="306" t="s">
        <v>2330</v>
      </c>
      <c r="J353" s="304" t="s">
        <v>87</v>
      </c>
      <c r="K353" s="307">
        <v>43405</v>
      </c>
      <c r="L353" s="309">
        <v>45657</v>
      </c>
      <c r="M353" s="306" t="s">
        <v>211</v>
      </c>
      <c r="N353" s="304" t="s">
        <v>96</v>
      </c>
      <c r="O353" s="306" t="s">
        <v>51</v>
      </c>
      <c r="P353" s="304">
        <v>1</v>
      </c>
      <c r="Q353" s="304">
        <v>1</v>
      </c>
      <c r="R353" s="304">
        <v>1</v>
      </c>
      <c r="S353" s="308">
        <v>1</v>
      </c>
    </row>
    <row r="354" spans="1:19" ht="306">
      <c r="A354" s="303">
        <v>349</v>
      </c>
      <c r="B354" s="304">
        <v>391</v>
      </c>
      <c r="C354" s="305" t="s">
        <v>711</v>
      </c>
      <c r="D354" s="306" t="s">
        <v>712</v>
      </c>
      <c r="E354" s="305" t="s">
        <v>786</v>
      </c>
      <c r="F354" s="306" t="s">
        <v>54</v>
      </c>
      <c r="G354" s="306" t="s">
        <v>2319</v>
      </c>
      <c r="H354" s="306" t="s">
        <v>1503</v>
      </c>
      <c r="I354" s="306" t="s">
        <v>2331</v>
      </c>
      <c r="J354" s="304" t="s">
        <v>87</v>
      </c>
      <c r="K354" s="307">
        <v>43405</v>
      </c>
      <c r="L354" s="309">
        <v>45657</v>
      </c>
      <c r="M354" s="306" t="s">
        <v>207</v>
      </c>
      <c r="N354" s="304" t="s">
        <v>96</v>
      </c>
      <c r="O354" s="306" t="s">
        <v>71</v>
      </c>
      <c r="P354" s="304">
        <v>1</v>
      </c>
      <c r="Q354" s="304">
        <v>1</v>
      </c>
      <c r="R354" s="304">
        <v>1</v>
      </c>
      <c r="S354" s="308">
        <v>1</v>
      </c>
    </row>
    <row r="355" spans="1:19" ht="409.6">
      <c r="A355" s="303">
        <v>350</v>
      </c>
      <c r="B355" s="304">
        <v>392</v>
      </c>
      <c r="C355" s="305" t="s">
        <v>711</v>
      </c>
      <c r="D355" s="306" t="s">
        <v>712</v>
      </c>
      <c r="E355" s="305" t="s">
        <v>786</v>
      </c>
      <c r="F355" s="306" t="s">
        <v>54</v>
      </c>
      <c r="G355" s="306" t="s">
        <v>2319</v>
      </c>
      <c r="H355" s="306" t="s">
        <v>1505</v>
      </c>
      <c r="I355" s="306" t="s">
        <v>2332</v>
      </c>
      <c r="J355" s="304" t="s">
        <v>87</v>
      </c>
      <c r="K355" s="307">
        <v>43405</v>
      </c>
      <c r="L355" s="309">
        <v>44196</v>
      </c>
      <c r="M355" s="306" t="s">
        <v>205</v>
      </c>
      <c r="N355" s="304" t="s">
        <v>96</v>
      </c>
      <c r="O355" s="306" t="s">
        <v>55</v>
      </c>
      <c r="P355" s="304">
        <v>1</v>
      </c>
      <c r="Q355" s="304">
        <v>1</v>
      </c>
      <c r="R355" s="304">
        <v>1</v>
      </c>
      <c r="S355" s="308">
        <v>1</v>
      </c>
    </row>
    <row r="356" spans="1:19" ht="409.6">
      <c r="A356" s="303">
        <v>351</v>
      </c>
      <c r="B356" s="304">
        <v>393</v>
      </c>
      <c r="C356" s="305" t="s">
        <v>711</v>
      </c>
      <c r="D356" s="306" t="s">
        <v>712</v>
      </c>
      <c r="E356" s="305" t="s">
        <v>786</v>
      </c>
      <c r="F356" s="306" t="s">
        <v>54</v>
      </c>
      <c r="G356" s="306" t="s">
        <v>2319</v>
      </c>
      <c r="H356" s="306" t="s">
        <v>1509</v>
      </c>
      <c r="I356" s="306" t="s">
        <v>2333</v>
      </c>
      <c r="J356" s="304" t="s">
        <v>87</v>
      </c>
      <c r="K356" s="307">
        <v>43405</v>
      </c>
      <c r="L356" s="309">
        <v>45657</v>
      </c>
      <c r="M356" s="306" t="s">
        <v>205</v>
      </c>
      <c r="N356" s="304" t="s">
        <v>96</v>
      </c>
      <c r="O356" s="306" t="s">
        <v>51</v>
      </c>
      <c r="P356" s="304">
        <v>1</v>
      </c>
      <c r="Q356" s="304">
        <v>1</v>
      </c>
      <c r="R356" s="304">
        <v>1</v>
      </c>
      <c r="S356" s="308">
        <v>1</v>
      </c>
    </row>
    <row r="357" spans="1:19" ht="409.6">
      <c r="A357" s="303">
        <v>352</v>
      </c>
      <c r="B357" s="304">
        <v>394</v>
      </c>
      <c r="C357" s="305" t="s">
        <v>711</v>
      </c>
      <c r="D357" s="306" t="s">
        <v>712</v>
      </c>
      <c r="E357" s="305" t="s">
        <v>786</v>
      </c>
      <c r="F357" s="306" t="s">
        <v>54</v>
      </c>
      <c r="G357" s="306" t="s">
        <v>2319</v>
      </c>
      <c r="H357" s="306" t="s">
        <v>1511</v>
      </c>
      <c r="I357" s="306" t="s">
        <v>2334</v>
      </c>
      <c r="J357" s="304" t="s">
        <v>87</v>
      </c>
      <c r="K357" s="307">
        <v>43405</v>
      </c>
      <c r="L357" s="309">
        <v>44196</v>
      </c>
      <c r="M357" s="306" t="s">
        <v>99</v>
      </c>
      <c r="N357" s="304" t="s">
        <v>90</v>
      </c>
      <c r="O357" s="306" t="s">
        <v>51</v>
      </c>
      <c r="P357" s="304">
        <v>1</v>
      </c>
      <c r="Q357" s="304">
        <v>1</v>
      </c>
      <c r="R357" s="304">
        <v>1</v>
      </c>
      <c r="S357" s="308">
        <v>1</v>
      </c>
    </row>
    <row r="358" spans="1:19" ht="295">
      <c r="A358" s="303">
        <v>353</v>
      </c>
      <c r="B358" s="304">
        <v>395</v>
      </c>
      <c r="C358" s="305" t="s">
        <v>711</v>
      </c>
      <c r="D358" s="306" t="s">
        <v>712</v>
      </c>
      <c r="E358" s="305" t="s">
        <v>786</v>
      </c>
      <c r="F358" s="306" t="s">
        <v>54</v>
      </c>
      <c r="G358" s="306" t="s">
        <v>2319</v>
      </c>
      <c r="H358" s="306" t="s">
        <v>1514</v>
      </c>
      <c r="I358" s="306" t="s">
        <v>2335</v>
      </c>
      <c r="J358" s="304" t="s">
        <v>87</v>
      </c>
      <c r="K358" s="307">
        <v>43405</v>
      </c>
      <c r="L358" s="309">
        <v>43830</v>
      </c>
      <c r="M358" s="306" t="s">
        <v>99</v>
      </c>
      <c r="N358" s="304" t="s">
        <v>96</v>
      </c>
      <c r="O358" s="306" t="s">
        <v>55</v>
      </c>
      <c r="P358" s="304">
        <v>1</v>
      </c>
      <c r="Q358" s="304">
        <v>1</v>
      </c>
      <c r="R358" s="304">
        <v>1</v>
      </c>
      <c r="S358" s="308">
        <v>1</v>
      </c>
    </row>
    <row r="359" spans="1:19" ht="409.6">
      <c r="A359" s="303">
        <v>354</v>
      </c>
      <c r="B359" s="304">
        <v>396</v>
      </c>
      <c r="C359" s="305" t="s">
        <v>711</v>
      </c>
      <c r="D359" s="306" t="s">
        <v>712</v>
      </c>
      <c r="E359" s="305" t="s">
        <v>786</v>
      </c>
      <c r="F359" s="306" t="s">
        <v>54</v>
      </c>
      <c r="G359" s="306" t="s">
        <v>2319</v>
      </c>
      <c r="H359" s="306" t="s">
        <v>1516</v>
      </c>
      <c r="I359" s="306" t="s">
        <v>2336</v>
      </c>
      <c r="J359" s="304" t="s">
        <v>87</v>
      </c>
      <c r="K359" s="307">
        <v>43405</v>
      </c>
      <c r="L359" s="309">
        <v>45657</v>
      </c>
      <c r="M359" s="306" t="s">
        <v>205</v>
      </c>
      <c r="N359" s="304" t="s">
        <v>96</v>
      </c>
      <c r="O359" s="306" t="s">
        <v>51</v>
      </c>
      <c r="P359" s="304">
        <v>1</v>
      </c>
      <c r="Q359" s="304">
        <v>1</v>
      </c>
      <c r="R359" s="304">
        <v>1</v>
      </c>
      <c r="S359" s="308">
        <v>1</v>
      </c>
    </row>
    <row r="360" spans="1:19" ht="409.6">
      <c r="A360" s="303">
        <v>355</v>
      </c>
      <c r="B360" s="304">
        <v>397</v>
      </c>
      <c r="C360" s="305" t="s">
        <v>711</v>
      </c>
      <c r="D360" s="306" t="s">
        <v>712</v>
      </c>
      <c r="E360" s="305" t="s">
        <v>786</v>
      </c>
      <c r="F360" s="306" t="s">
        <v>54</v>
      </c>
      <c r="G360" s="306" t="s">
        <v>2319</v>
      </c>
      <c r="H360" s="306" t="s">
        <v>1518</v>
      </c>
      <c r="I360" s="306" t="s">
        <v>2337</v>
      </c>
      <c r="J360" s="304" t="s">
        <v>87</v>
      </c>
      <c r="K360" s="307">
        <v>43405</v>
      </c>
      <c r="L360" s="309">
        <v>45657</v>
      </c>
      <c r="M360" s="306" t="s">
        <v>211</v>
      </c>
      <c r="N360" s="304" t="s">
        <v>96</v>
      </c>
      <c r="O360" s="306" t="s">
        <v>55</v>
      </c>
      <c r="P360" s="304">
        <v>1</v>
      </c>
      <c r="Q360" s="304">
        <v>1</v>
      </c>
      <c r="R360" s="304">
        <v>1</v>
      </c>
      <c r="S360" s="308">
        <v>1</v>
      </c>
    </row>
    <row r="361" spans="1:19" ht="306">
      <c r="A361" s="303">
        <v>356</v>
      </c>
      <c r="B361" s="304">
        <v>398</v>
      </c>
      <c r="C361" s="305" t="s">
        <v>711</v>
      </c>
      <c r="D361" s="306" t="s">
        <v>712</v>
      </c>
      <c r="E361" s="305" t="s">
        <v>786</v>
      </c>
      <c r="F361" s="306" t="s">
        <v>54</v>
      </c>
      <c r="G361" s="306" t="s">
        <v>2319</v>
      </c>
      <c r="H361" s="306" t="s">
        <v>1521</v>
      </c>
      <c r="I361" s="306" t="s">
        <v>2338</v>
      </c>
      <c r="J361" s="304" t="s">
        <v>87</v>
      </c>
      <c r="K361" s="307">
        <v>43405</v>
      </c>
      <c r="L361" s="309">
        <v>44196</v>
      </c>
      <c r="M361" s="306" t="s">
        <v>209</v>
      </c>
      <c r="N361" s="304" t="s">
        <v>90</v>
      </c>
      <c r="O361" s="306" t="s">
        <v>51</v>
      </c>
      <c r="P361" s="304">
        <v>1</v>
      </c>
      <c r="Q361" s="304">
        <v>1</v>
      </c>
      <c r="R361" s="304">
        <v>1</v>
      </c>
      <c r="S361" s="308">
        <v>1</v>
      </c>
    </row>
    <row r="362" spans="1:19" ht="180">
      <c r="A362" s="303">
        <v>357</v>
      </c>
      <c r="B362" s="304">
        <v>399</v>
      </c>
      <c r="C362" s="305" t="s">
        <v>711</v>
      </c>
      <c r="D362" s="306" t="s">
        <v>712</v>
      </c>
      <c r="E362" s="305" t="s">
        <v>786</v>
      </c>
      <c r="F362" s="306" t="s">
        <v>54</v>
      </c>
      <c r="G362" s="306" t="s">
        <v>2319</v>
      </c>
      <c r="H362" s="306" t="s">
        <v>1523</v>
      </c>
      <c r="I362" s="306" t="s">
        <v>2339</v>
      </c>
      <c r="J362" s="304" t="s">
        <v>87</v>
      </c>
      <c r="K362" s="307">
        <v>43405</v>
      </c>
      <c r="L362" s="309">
        <v>43830</v>
      </c>
      <c r="M362" s="306" t="s">
        <v>205</v>
      </c>
      <c r="N362" s="304" t="s">
        <v>90</v>
      </c>
      <c r="O362" s="306" t="s">
        <v>51</v>
      </c>
      <c r="P362" s="304">
        <v>1</v>
      </c>
      <c r="Q362" s="304">
        <v>1</v>
      </c>
      <c r="R362" s="304">
        <v>1</v>
      </c>
      <c r="S362" s="308">
        <v>1</v>
      </c>
    </row>
    <row r="363" spans="1:19" ht="132">
      <c r="A363" s="303">
        <v>358</v>
      </c>
      <c r="B363" s="304">
        <v>400</v>
      </c>
      <c r="C363" s="305" t="s">
        <v>711</v>
      </c>
      <c r="D363" s="306" t="s">
        <v>712</v>
      </c>
      <c r="E363" s="305" t="s">
        <v>786</v>
      </c>
      <c r="F363" s="306" t="s">
        <v>54</v>
      </c>
      <c r="G363" s="306" t="s">
        <v>2319</v>
      </c>
      <c r="H363" s="306" t="s">
        <v>1525</v>
      </c>
      <c r="I363" s="306" t="s">
        <v>2340</v>
      </c>
      <c r="J363" s="304" t="s">
        <v>87</v>
      </c>
      <c r="K363" s="307">
        <v>43405</v>
      </c>
      <c r="L363" s="309">
        <v>45657</v>
      </c>
      <c r="M363" s="306" t="s">
        <v>211</v>
      </c>
      <c r="N363" s="304" t="s">
        <v>96</v>
      </c>
      <c r="O363" s="306" t="s">
        <v>51</v>
      </c>
      <c r="P363" s="304">
        <v>1</v>
      </c>
      <c r="Q363" s="304">
        <v>1</v>
      </c>
      <c r="R363" s="304">
        <v>1</v>
      </c>
      <c r="S363" s="308">
        <v>1</v>
      </c>
    </row>
    <row r="364" spans="1:19" ht="120">
      <c r="A364" s="303">
        <v>359</v>
      </c>
      <c r="B364" s="304">
        <v>401</v>
      </c>
      <c r="C364" s="305" t="s">
        <v>711</v>
      </c>
      <c r="D364" s="306" t="s">
        <v>712</v>
      </c>
      <c r="E364" s="305" t="s">
        <v>786</v>
      </c>
      <c r="F364" s="306" t="s">
        <v>54</v>
      </c>
      <c r="G364" s="306" t="s">
        <v>2319</v>
      </c>
      <c r="H364" s="306" t="s">
        <v>1530</v>
      </c>
      <c r="I364" s="306" t="s">
        <v>2341</v>
      </c>
      <c r="J364" s="304" t="s">
        <v>87</v>
      </c>
      <c r="K364" s="307">
        <v>43405</v>
      </c>
      <c r="L364" s="309">
        <v>45657</v>
      </c>
      <c r="M364" s="306" t="s">
        <v>221</v>
      </c>
      <c r="N364" s="304" t="s">
        <v>96</v>
      </c>
      <c r="O364" s="306" t="s">
        <v>51</v>
      </c>
      <c r="P364" s="304">
        <v>1</v>
      </c>
      <c r="Q364" s="304">
        <v>1</v>
      </c>
      <c r="R364" s="304">
        <v>1</v>
      </c>
      <c r="S364" s="308">
        <v>1</v>
      </c>
    </row>
    <row r="365" spans="1:19" ht="295">
      <c r="A365" s="303">
        <v>360</v>
      </c>
      <c r="B365" s="304">
        <v>402</v>
      </c>
      <c r="C365" s="305" t="s">
        <v>711</v>
      </c>
      <c r="D365" s="306" t="s">
        <v>712</v>
      </c>
      <c r="E365" s="305" t="s">
        <v>786</v>
      </c>
      <c r="F365" s="306" t="s">
        <v>54</v>
      </c>
      <c r="G365" s="306" t="s">
        <v>2319</v>
      </c>
      <c r="H365" s="306" t="s">
        <v>1533</v>
      </c>
      <c r="I365" s="306" t="s">
        <v>2342</v>
      </c>
      <c r="J365" s="304" t="s">
        <v>87</v>
      </c>
      <c r="K365" s="307">
        <v>43405</v>
      </c>
      <c r="L365" s="309">
        <v>44926</v>
      </c>
      <c r="M365" s="306" t="s">
        <v>99</v>
      </c>
      <c r="N365" s="304" t="s">
        <v>90</v>
      </c>
      <c r="O365" s="306" t="s">
        <v>51</v>
      </c>
      <c r="P365" s="304">
        <v>1</v>
      </c>
      <c r="Q365" s="304">
        <v>1</v>
      </c>
      <c r="R365" s="304">
        <v>1</v>
      </c>
      <c r="S365" s="308">
        <v>1</v>
      </c>
    </row>
    <row r="366" spans="1:19" ht="216">
      <c r="A366" s="303">
        <v>361</v>
      </c>
      <c r="B366" s="304">
        <v>403</v>
      </c>
      <c r="C366" s="305" t="s">
        <v>711</v>
      </c>
      <c r="D366" s="306" t="s">
        <v>712</v>
      </c>
      <c r="E366" s="305" t="s">
        <v>786</v>
      </c>
      <c r="F366" s="306" t="s">
        <v>54</v>
      </c>
      <c r="G366" s="306" t="s">
        <v>2319</v>
      </c>
      <c r="H366" s="306" t="s">
        <v>1536</v>
      </c>
      <c r="I366" s="306" t="s">
        <v>2343</v>
      </c>
      <c r="J366" s="304" t="s">
        <v>87</v>
      </c>
      <c r="K366" s="307">
        <v>43405</v>
      </c>
      <c r="L366" s="309">
        <v>45657</v>
      </c>
      <c r="M366" s="306" t="s">
        <v>205</v>
      </c>
      <c r="N366" s="304" t="s">
        <v>96</v>
      </c>
      <c r="O366" s="306" t="s">
        <v>51</v>
      </c>
      <c r="P366" s="304">
        <v>1</v>
      </c>
      <c r="Q366" s="304">
        <v>1</v>
      </c>
      <c r="R366" s="304">
        <v>1</v>
      </c>
      <c r="S366" s="308">
        <v>1</v>
      </c>
    </row>
    <row r="367" spans="1:19" ht="132">
      <c r="A367" s="303">
        <v>362</v>
      </c>
      <c r="B367" s="304">
        <v>404</v>
      </c>
      <c r="C367" s="305" t="s">
        <v>711</v>
      </c>
      <c r="D367" s="306" t="s">
        <v>712</v>
      </c>
      <c r="E367" s="305" t="s">
        <v>786</v>
      </c>
      <c r="F367" s="306" t="s">
        <v>54</v>
      </c>
      <c r="G367" s="306" t="s">
        <v>2319</v>
      </c>
      <c r="H367" s="306" t="s">
        <v>2344</v>
      </c>
      <c r="I367" s="306" t="s">
        <v>2345</v>
      </c>
      <c r="J367" s="304" t="s">
        <v>87</v>
      </c>
      <c r="K367" s="307" t="s">
        <v>3413</v>
      </c>
      <c r="L367" s="309">
        <v>45657</v>
      </c>
      <c r="M367" s="306" t="s">
        <v>207</v>
      </c>
      <c r="N367" s="304" t="s">
        <v>96</v>
      </c>
      <c r="O367" s="306" t="s">
        <v>71</v>
      </c>
      <c r="P367" s="304">
        <v>1</v>
      </c>
      <c r="Q367" s="304">
        <v>1</v>
      </c>
      <c r="R367" s="304">
        <v>1</v>
      </c>
      <c r="S367" s="308">
        <v>1</v>
      </c>
    </row>
    <row r="368" spans="1:19" ht="409.6">
      <c r="A368" s="303">
        <v>363</v>
      </c>
      <c r="B368" s="304">
        <v>405</v>
      </c>
      <c r="C368" s="305" t="s">
        <v>711</v>
      </c>
      <c r="D368" s="306" t="s">
        <v>712</v>
      </c>
      <c r="E368" s="305" t="s">
        <v>786</v>
      </c>
      <c r="F368" s="306" t="s">
        <v>54</v>
      </c>
      <c r="G368" s="306" t="s">
        <v>2319</v>
      </c>
      <c r="H368" s="306" t="s">
        <v>1322</v>
      </c>
      <c r="I368" s="306" t="s">
        <v>2289</v>
      </c>
      <c r="J368" s="304" t="s">
        <v>87</v>
      </c>
      <c r="K368" s="307">
        <v>43405</v>
      </c>
      <c r="L368" s="309">
        <v>43830</v>
      </c>
      <c r="M368" s="306" t="s">
        <v>214</v>
      </c>
      <c r="N368" s="304" t="s">
        <v>90</v>
      </c>
      <c r="O368" s="306" t="s">
        <v>71</v>
      </c>
      <c r="P368" s="304">
        <v>1</v>
      </c>
      <c r="Q368" s="304">
        <v>1</v>
      </c>
      <c r="R368" s="304">
        <v>1</v>
      </c>
      <c r="S368" s="308">
        <v>1</v>
      </c>
    </row>
    <row r="369" spans="1:19" ht="96">
      <c r="A369" s="303">
        <v>364</v>
      </c>
      <c r="B369" s="304">
        <v>406</v>
      </c>
      <c r="C369" s="305" t="s">
        <v>711</v>
      </c>
      <c r="D369" s="306" t="s">
        <v>712</v>
      </c>
      <c r="E369" s="305" t="s">
        <v>786</v>
      </c>
      <c r="F369" s="306" t="s">
        <v>54</v>
      </c>
      <c r="G369" s="306" t="s">
        <v>2319</v>
      </c>
      <c r="H369" s="306" t="s">
        <v>1546</v>
      </c>
      <c r="I369" s="306"/>
      <c r="J369" s="304" t="s">
        <v>87</v>
      </c>
      <c r="K369" s="307">
        <v>43405</v>
      </c>
      <c r="L369" s="309">
        <v>44561</v>
      </c>
      <c r="M369" s="306" t="s">
        <v>207</v>
      </c>
      <c r="N369" s="304" t="s">
        <v>96</v>
      </c>
      <c r="O369" s="306" t="s">
        <v>71</v>
      </c>
      <c r="P369" s="304">
        <v>1</v>
      </c>
      <c r="Q369" s="304">
        <v>1</v>
      </c>
      <c r="R369" s="304">
        <v>1</v>
      </c>
      <c r="S369" s="308">
        <v>1</v>
      </c>
    </row>
    <row r="370" spans="1:19" ht="168">
      <c r="A370" s="303">
        <v>365</v>
      </c>
      <c r="B370" s="304">
        <v>407</v>
      </c>
      <c r="C370" s="305" t="s">
        <v>711</v>
      </c>
      <c r="D370" s="306" t="s">
        <v>712</v>
      </c>
      <c r="E370" s="305" t="s">
        <v>786</v>
      </c>
      <c r="F370" s="306" t="s">
        <v>54</v>
      </c>
      <c r="G370" s="306" t="s">
        <v>2319</v>
      </c>
      <c r="H370" s="306" t="s">
        <v>1552</v>
      </c>
      <c r="I370" s="306" t="s">
        <v>2346</v>
      </c>
      <c r="J370" s="304" t="s">
        <v>87</v>
      </c>
      <c r="K370" s="307">
        <v>43405</v>
      </c>
      <c r="L370" s="309">
        <v>44926</v>
      </c>
      <c r="M370" s="306" t="s">
        <v>207</v>
      </c>
      <c r="N370" s="304" t="s">
        <v>96</v>
      </c>
      <c r="O370" s="306" t="s">
        <v>71</v>
      </c>
      <c r="P370" s="304">
        <v>1</v>
      </c>
      <c r="Q370" s="304">
        <v>1</v>
      </c>
      <c r="R370" s="304">
        <v>1</v>
      </c>
      <c r="S370" s="308">
        <v>1</v>
      </c>
    </row>
    <row r="371" spans="1:19" ht="409.6">
      <c r="A371" s="303">
        <v>366</v>
      </c>
      <c r="B371" s="304">
        <v>408</v>
      </c>
      <c r="C371" s="305" t="s">
        <v>711</v>
      </c>
      <c r="D371" s="306" t="s">
        <v>712</v>
      </c>
      <c r="E371" s="305" t="s">
        <v>788</v>
      </c>
      <c r="F371" s="306" t="s">
        <v>47</v>
      </c>
      <c r="G371" s="306" t="s">
        <v>2347</v>
      </c>
      <c r="H371" s="306" t="s">
        <v>1637</v>
      </c>
      <c r="I371" s="306" t="s">
        <v>2348</v>
      </c>
      <c r="J371" s="304" t="s">
        <v>87</v>
      </c>
      <c r="K371" s="307">
        <v>43435</v>
      </c>
      <c r="L371" s="309">
        <v>44196</v>
      </c>
      <c r="M371" s="306" t="s">
        <v>209</v>
      </c>
      <c r="N371" s="304" t="s">
        <v>90</v>
      </c>
      <c r="O371" s="306" t="s">
        <v>5</v>
      </c>
      <c r="P371" s="304">
        <v>1</v>
      </c>
      <c r="Q371" s="304">
        <v>1</v>
      </c>
      <c r="R371" s="304">
        <v>1</v>
      </c>
      <c r="S371" s="308">
        <v>1</v>
      </c>
    </row>
    <row r="372" spans="1:19" ht="409.6">
      <c r="A372" s="303">
        <v>367</v>
      </c>
      <c r="B372" s="304">
        <v>409</v>
      </c>
      <c r="C372" s="305" t="s">
        <v>711</v>
      </c>
      <c r="D372" s="306" t="s">
        <v>712</v>
      </c>
      <c r="E372" s="305" t="s">
        <v>788</v>
      </c>
      <c r="F372" s="306" t="s">
        <v>47</v>
      </c>
      <c r="G372" s="306" t="s">
        <v>2347</v>
      </c>
      <c r="H372" s="306" t="s">
        <v>2349</v>
      </c>
      <c r="I372" s="306" t="s">
        <v>2350</v>
      </c>
      <c r="J372" s="304" t="s">
        <v>87</v>
      </c>
      <c r="K372" s="307">
        <v>43435</v>
      </c>
      <c r="L372" s="309">
        <v>43830</v>
      </c>
      <c r="M372" s="306" t="s">
        <v>205</v>
      </c>
      <c r="N372" s="304" t="s">
        <v>90</v>
      </c>
      <c r="O372" s="306" t="s">
        <v>5</v>
      </c>
      <c r="P372" s="304">
        <v>1</v>
      </c>
      <c r="Q372" s="304">
        <v>1</v>
      </c>
      <c r="R372" s="304">
        <v>1</v>
      </c>
      <c r="S372" s="308">
        <v>1</v>
      </c>
    </row>
    <row r="373" spans="1:19" ht="409.6">
      <c r="A373" s="303">
        <v>368</v>
      </c>
      <c r="B373" s="304">
        <v>410</v>
      </c>
      <c r="C373" s="305" t="s">
        <v>711</v>
      </c>
      <c r="D373" s="306" t="s">
        <v>712</v>
      </c>
      <c r="E373" s="305" t="s">
        <v>788</v>
      </c>
      <c r="F373" s="306" t="s">
        <v>47</v>
      </c>
      <c r="G373" s="306" t="s">
        <v>2347</v>
      </c>
      <c r="H373" s="306" t="s">
        <v>1566</v>
      </c>
      <c r="I373" s="306" t="s">
        <v>2351</v>
      </c>
      <c r="J373" s="304" t="s">
        <v>87</v>
      </c>
      <c r="K373" s="307">
        <v>43435</v>
      </c>
      <c r="L373" s="309">
        <v>44196</v>
      </c>
      <c r="M373" s="306" t="s">
        <v>211</v>
      </c>
      <c r="N373" s="304" t="s">
        <v>96</v>
      </c>
      <c r="O373" s="306" t="s">
        <v>5</v>
      </c>
      <c r="P373" s="304">
        <v>1</v>
      </c>
      <c r="Q373" s="304">
        <v>1</v>
      </c>
      <c r="R373" s="304">
        <v>1</v>
      </c>
      <c r="S373" s="308">
        <v>1</v>
      </c>
    </row>
    <row r="374" spans="1:19" ht="372">
      <c r="A374" s="303">
        <v>369</v>
      </c>
      <c r="B374" s="304">
        <v>411</v>
      </c>
      <c r="C374" s="305" t="s">
        <v>711</v>
      </c>
      <c r="D374" s="306" t="s">
        <v>712</v>
      </c>
      <c r="E374" s="305" t="s">
        <v>788</v>
      </c>
      <c r="F374" s="306" t="s">
        <v>47</v>
      </c>
      <c r="G374" s="306" t="s">
        <v>2347</v>
      </c>
      <c r="H374" s="306" t="s">
        <v>1568</v>
      </c>
      <c r="I374" s="306" t="s">
        <v>2352</v>
      </c>
      <c r="J374" s="304" t="s">
        <v>87</v>
      </c>
      <c r="K374" s="307">
        <v>43435</v>
      </c>
      <c r="L374" s="309">
        <v>44561</v>
      </c>
      <c r="M374" s="306" t="s">
        <v>205</v>
      </c>
      <c r="N374" s="304" t="s">
        <v>96</v>
      </c>
      <c r="O374" s="306" t="s">
        <v>5</v>
      </c>
      <c r="P374" s="304">
        <v>1</v>
      </c>
      <c r="Q374" s="304">
        <v>1</v>
      </c>
      <c r="R374" s="304">
        <v>1</v>
      </c>
      <c r="S374" s="308">
        <v>1</v>
      </c>
    </row>
    <row r="375" spans="1:19" ht="409.6">
      <c r="A375" s="303">
        <v>370</v>
      </c>
      <c r="B375" s="304">
        <v>412</v>
      </c>
      <c r="C375" s="305" t="s">
        <v>711</v>
      </c>
      <c r="D375" s="306" t="s">
        <v>712</v>
      </c>
      <c r="E375" s="305" t="s">
        <v>788</v>
      </c>
      <c r="F375" s="306" t="s">
        <v>47</v>
      </c>
      <c r="G375" s="306" t="s">
        <v>2347</v>
      </c>
      <c r="H375" s="306" t="s">
        <v>1572</v>
      </c>
      <c r="I375" s="306" t="s">
        <v>2353</v>
      </c>
      <c r="J375" s="304" t="s">
        <v>87</v>
      </c>
      <c r="K375" s="307">
        <v>43435</v>
      </c>
      <c r="L375" s="309">
        <v>45657</v>
      </c>
      <c r="M375" s="306" t="s">
        <v>211</v>
      </c>
      <c r="N375" s="304" t="s">
        <v>96</v>
      </c>
      <c r="O375" s="306" t="s">
        <v>5</v>
      </c>
      <c r="P375" s="304">
        <v>1</v>
      </c>
      <c r="Q375" s="304">
        <v>1</v>
      </c>
      <c r="R375" s="304">
        <v>1</v>
      </c>
      <c r="S375" s="308">
        <v>1</v>
      </c>
    </row>
    <row r="376" spans="1:19" ht="144">
      <c r="A376" s="303">
        <v>371</v>
      </c>
      <c r="B376" s="304">
        <v>413</v>
      </c>
      <c r="C376" s="305" t="s">
        <v>711</v>
      </c>
      <c r="D376" s="306" t="s">
        <v>712</v>
      </c>
      <c r="E376" s="305" t="s">
        <v>788</v>
      </c>
      <c r="F376" s="306" t="s">
        <v>47</v>
      </c>
      <c r="G376" s="306" t="s">
        <v>2347</v>
      </c>
      <c r="H376" s="306" t="s">
        <v>1574</v>
      </c>
      <c r="I376" s="306" t="s">
        <v>2354</v>
      </c>
      <c r="J376" s="304" t="s">
        <v>87</v>
      </c>
      <c r="K376" s="307">
        <v>43435</v>
      </c>
      <c r="L376" s="309">
        <v>45657</v>
      </c>
      <c r="M376" s="306" t="s">
        <v>214</v>
      </c>
      <c r="N376" s="304" t="s">
        <v>90</v>
      </c>
      <c r="O376" s="306" t="s">
        <v>71</v>
      </c>
      <c r="P376" s="304">
        <v>1</v>
      </c>
      <c r="Q376" s="304">
        <v>1</v>
      </c>
      <c r="R376" s="304">
        <v>1</v>
      </c>
      <c r="S376" s="308">
        <v>1</v>
      </c>
    </row>
    <row r="377" spans="1:19" ht="409.6">
      <c r="A377" s="303">
        <v>372</v>
      </c>
      <c r="B377" s="304">
        <v>414</v>
      </c>
      <c r="C377" s="305" t="s">
        <v>711</v>
      </c>
      <c r="D377" s="306" t="s">
        <v>712</v>
      </c>
      <c r="E377" s="305" t="s">
        <v>790</v>
      </c>
      <c r="F377" s="306" t="s">
        <v>70</v>
      </c>
      <c r="G377" s="306" t="s">
        <v>2267</v>
      </c>
      <c r="H377" s="306" t="s">
        <v>1359</v>
      </c>
      <c r="I377" s="306" t="s">
        <v>2355</v>
      </c>
      <c r="J377" s="304" t="s">
        <v>87</v>
      </c>
      <c r="K377" s="307">
        <v>43405</v>
      </c>
      <c r="L377" s="309">
        <v>45656</v>
      </c>
      <c r="M377" s="306" t="s">
        <v>207</v>
      </c>
      <c r="N377" s="304" t="s">
        <v>90</v>
      </c>
      <c r="O377" s="306" t="s">
        <v>69</v>
      </c>
      <c r="P377" s="304">
        <v>1</v>
      </c>
      <c r="Q377" s="304">
        <v>1</v>
      </c>
      <c r="R377" s="304">
        <v>1</v>
      </c>
      <c r="S377" s="308">
        <v>1</v>
      </c>
    </row>
    <row r="378" spans="1:19" ht="168">
      <c r="A378" s="303">
        <v>373</v>
      </c>
      <c r="B378" s="304">
        <v>415</v>
      </c>
      <c r="C378" s="305" t="s">
        <v>711</v>
      </c>
      <c r="D378" s="306" t="s">
        <v>712</v>
      </c>
      <c r="E378" s="305" t="s">
        <v>790</v>
      </c>
      <c r="F378" s="306" t="s">
        <v>70</v>
      </c>
      <c r="G378" s="306" t="s">
        <v>2267</v>
      </c>
      <c r="H378" s="306" t="s">
        <v>1362</v>
      </c>
      <c r="I378" s="306" t="s">
        <v>2356</v>
      </c>
      <c r="J378" s="304" t="s">
        <v>87</v>
      </c>
      <c r="K378" s="307">
        <v>43405</v>
      </c>
      <c r="L378" s="309">
        <v>45656</v>
      </c>
      <c r="M378" s="306" t="s">
        <v>95</v>
      </c>
      <c r="N378" s="304" t="s">
        <v>90</v>
      </c>
      <c r="O378" s="306" t="s">
        <v>71</v>
      </c>
      <c r="P378" s="304">
        <v>1</v>
      </c>
      <c r="Q378" s="304">
        <v>1</v>
      </c>
      <c r="R378" s="304">
        <v>1</v>
      </c>
      <c r="S378" s="308">
        <v>1</v>
      </c>
    </row>
    <row r="379" spans="1:19" ht="228">
      <c r="A379" s="303">
        <v>374</v>
      </c>
      <c r="B379" s="304">
        <v>416</v>
      </c>
      <c r="C379" s="305" t="s">
        <v>711</v>
      </c>
      <c r="D379" s="306" t="s">
        <v>712</v>
      </c>
      <c r="E379" s="305" t="s">
        <v>790</v>
      </c>
      <c r="F379" s="306" t="s">
        <v>70</v>
      </c>
      <c r="G379" s="306" t="s">
        <v>2267</v>
      </c>
      <c r="H379" s="306" t="s">
        <v>1365</v>
      </c>
      <c r="I379" s="306" t="s">
        <v>2357</v>
      </c>
      <c r="J379" s="304" t="s">
        <v>87</v>
      </c>
      <c r="K379" s="307">
        <v>43405</v>
      </c>
      <c r="L379" s="309">
        <v>45656</v>
      </c>
      <c r="M379" s="306" t="s">
        <v>207</v>
      </c>
      <c r="N379" s="304" t="s">
        <v>96</v>
      </c>
      <c r="O379" s="306" t="s">
        <v>71</v>
      </c>
      <c r="P379" s="304">
        <v>1</v>
      </c>
      <c r="Q379" s="304">
        <v>1</v>
      </c>
      <c r="R379" s="304">
        <v>1</v>
      </c>
      <c r="S379" s="308">
        <v>1</v>
      </c>
    </row>
    <row r="380" spans="1:19" ht="409.6">
      <c r="A380" s="303">
        <v>375</v>
      </c>
      <c r="B380" s="304">
        <v>417</v>
      </c>
      <c r="C380" s="305" t="s">
        <v>711</v>
      </c>
      <c r="D380" s="306" t="s">
        <v>712</v>
      </c>
      <c r="E380" s="305" t="s">
        <v>790</v>
      </c>
      <c r="F380" s="306" t="s">
        <v>70</v>
      </c>
      <c r="G380" s="306" t="s">
        <v>2267</v>
      </c>
      <c r="H380" s="306" t="s">
        <v>1368</v>
      </c>
      <c r="I380" s="306" t="s">
        <v>2358</v>
      </c>
      <c r="J380" s="304" t="s">
        <v>87</v>
      </c>
      <c r="K380" s="307">
        <v>43405</v>
      </c>
      <c r="L380" s="309">
        <v>45656</v>
      </c>
      <c r="M380" s="306" t="s">
        <v>207</v>
      </c>
      <c r="N380" s="304" t="s">
        <v>96</v>
      </c>
      <c r="O380" s="306" t="s">
        <v>71</v>
      </c>
      <c r="P380" s="304">
        <v>1</v>
      </c>
      <c r="Q380" s="304">
        <v>1</v>
      </c>
      <c r="R380" s="304">
        <v>1</v>
      </c>
      <c r="S380" s="308">
        <v>1</v>
      </c>
    </row>
    <row r="381" spans="1:19" ht="168">
      <c r="A381" s="303">
        <v>376</v>
      </c>
      <c r="B381" s="304">
        <v>418</v>
      </c>
      <c r="C381" s="305" t="s">
        <v>711</v>
      </c>
      <c r="D381" s="306" t="s">
        <v>712</v>
      </c>
      <c r="E381" s="305" t="s">
        <v>790</v>
      </c>
      <c r="F381" s="306" t="s">
        <v>70</v>
      </c>
      <c r="G381" s="306" t="s">
        <v>2267</v>
      </c>
      <c r="H381" s="306" t="s">
        <v>1370</v>
      </c>
      <c r="I381" s="306" t="s">
        <v>2359</v>
      </c>
      <c r="J381" s="304" t="s">
        <v>87</v>
      </c>
      <c r="K381" s="307">
        <v>43405</v>
      </c>
      <c r="L381" s="309">
        <v>45656</v>
      </c>
      <c r="M381" s="306" t="s">
        <v>207</v>
      </c>
      <c r="N381" s="304" t="s">
        <v>96</v>
      </c>
      <c r="O381" s="306" t="s">
        <v>71</v>
      </c>
      <c r="P381" s="304">
        <v>1</v>
      </c>
      <c r="Q381" s="304">
        <v>1</v>
      </c>
      <c r="R381" s="304">
        <v>1</v>
      </c>
      <c r="S381" s="308">
        <v>1</v>
      </c>
    </row>
    <row r="382" spans="1:19" ht="168">
      <c r="A382" s="303">
        <v>377</v>
      </c>
      <c r="B382" s="304">
        <v>419</v>
      </c>
      <c r="C382" s="305" t="s">
        <v>711</v>
      </c>
      <c r="D382" s="306" t="s">
        <v>712</v>
      </c>
      <c r="E382" s="305" t="s">
        <v>790</v>
      </c>
      <c r="F382" s="306" t="s">
        <v>70</v>
      </c>
      <c r="G382" s="306" t="s">
        <v>2267</v>
      </c>
      <c r="H382" s="306" t="s">
        <v>1374</v>
      </c>
      <c r="I382" s="306" t="s">
        <v>2360</v>
      </c>
      <c r="J382" s="304" t="s">
        <v>87</v>
      </c>
      <c r="K382" s="307">
        <v>43405</v>
      </c>
      <c r="L382" s="309">
        <v>45656</v>
      </c>
      <c r="M382" s="306" t="s">
        <v>95</v>
      </c>
      <c r="N382" s="304" t="s">
        <v>90</v>
      </c>
      <c r="O382" s="306" t="s">
        <v>71</v>
      </c>
      <c r="P382" s="304">
        <v>1</v>
      </c>
      <c r="Q382" s="304">
        <v>1</v>
      </c>
      <c r="R382" s="304">
        <v>1</v>
      </c>
      <c r="S382" s="308">
        <v>1</v>
      </c>
    </row>
    <row r="383" spans="1:19" ht="168">
      <c r="A383" s="303">
        <v>378</v>
      </c>
      <c r="B383" s="304">
        <v>420</v>
      </c>
      <c r="C383" s="305" t="s">
        <v>711</v>
      </c>
      <c r="D383" s="306" t="s">
        <v>712</v>
      </c>
      <c r="E383" s="305" t="s">
        <v>790</v>
      </c>
      <c r="F383" s="306" t="s">
        <v>70</v>
      </c>
      <c r="G383" s="306" t="s">
        <v>2267</v>
      </c>
      <c r="H383" s="306" t="s">
        <v>1377</v>
      </c>
      <c r="I383" s="306" t="s">
        <v>2361</v>
      </c>
      <c r="J383" s="304" t="s">
        <v>87</v>
      </c>
      <c r="K383" s="307">
        <v>43405</v>
      </c>
      <c r="L383" s="309">
        <v>45656</v>
      </c>
      <c r="M383" s="306" t="s">
        <v>95</v>
      </c>
      <c r="N383" s="304" t="s">
        <v>90</v>
      </c>
      <c r="O383" s="306" t="s">
        <v>71</v>
      </c>
      <c r="P383" s="304">
        <v>1</v>
      </c>
      <c r="Q383" s="304">
        <v>1</v>
      </c>
      <c r="R383" s="304">
        <v>1</v>
      </c>
      <c r="S383" s="308">
        <v>1</v>
      </c>
    </row>
    <row r="384" spans="1:19" ht="284">
      <c r="A384" s="303">
        <v>379</v>
      </c>
      <c r="B384" s="304">
        <v>421</v>
      </c>
      <c r="C384" s="305" t="s">
        <v>711</v>
      </c>
      <c r="D384" s="306" t="s">
        <v>712</v>
      </c>
      <c r="E384" s="305" t="s">
        <v>790</v>
      </c>
      <c r="F384" s="306" t="s">
        <v>70</v>
      </c>
      <c r="G384" s="306" t="s">
        <v>2362</v>
      </c>
      <c r="H384" s="306" t="s">
        <v>1333</v>
      </c>
      <c r="I384" s="306" t="s">
        <v>2363</v>
      </c>
      <c r="J384" s="304" t="s">
        <v>87</v>
      </c>
      <c r="K384" s="307">
        <v>43405</v>
      </c>
      <c r="L384" s="309">
        <v>45656</v>
      </c>
      <c r="M384" s="306" t="s">
        <v>98</v>
      </c>
      <c r="N384" s="304" t="s">
        <v>90</v>
      </c>
      <c r="O384" s="306" t="s">
        <v>69</v>
      </c>
      <c r="P384" s="304">
        <v>1</v>
      </c>
      <c r="Q384" s="304">
        <v>1</v>
      </c>
      <c r="R384" s="304">
        <v>1</v>
      </c>
      <c r="S384" s="308">
        <v>1</v>
      </c>
    </row>
    <row r="385" spans="1:19" ht="120">
      <c r="A385" s="303">
        <v>380</v>
      </c>
      <c r="B385" s="304">
        <v>422</v>
      </c>
      <c r="C385" s="305" t="s">
        <v>711</v>
      </c>
      <c r="D385" s="306" t="s">
        <v>712</v>
      </c>
      <c r="E385" s="305" t="s">
        <v>790</v>
      </c>
      <c r="F385" s="306" t="s">
        <v>70</v>
      </c>
      <c r="G385" s="306" t="s">
        <v>2362</v>
      </c>
      <c r="H385" s="306" t="s">
        <v>1337</v>
      </c>
      <c r="I385" s="306" t="s">
        <v>2364</v>
      </c>
      <c r="J385" s="304" t="s">
        <v>87</v>
      </c>
      <c r="K385" s="307">
        <v>43405</v>
      </c>
      <c r="L385" s="309">
        <v>45656</v>
      </c>
      <c r="M385" s="306" t="s">
        <v>207</v>
      </c>
      <c r="N385" s="304" t="s">
        <v>90</v>
      </c>
      <c r="O385" s="306" t="s">
        <v>69</v>
      </c>
      <c r="P385" s="304">
        <v>1</v>
      </c>
      <c r="Q385" s="304">
        <v>1</v>
      </c>
      <c r="R385" s="304">
        <v>1</v>
      </c>
      <c r="S385" s="308">
        <v>1</v>
      </c>
    </row>
    <row r="386" spans="1:19" ht="295">
      <c r="A386" s="303">
        <v>381</v>
      </c>
      <c r="B386" s="304">
        <v>423</v>
      </c>
      <c r="C386" s="305" t="s">
        <v>711</v>
      </c>
      <c r="D386" s="306" t="s">
        <v>712</v>
      </c>
      <c r="E386" s="305" t="s">
        <v>790</v>
      </c>
      <c r="F386" s="306" t="s">
        <v>70</v>
      </c>
      <c r="G386" s="306" t="s">
        <v>2362</v>
      </c>
      <c r="H386" s="306" t="s">
        <v>1340</v>
      </c>
      <c r="I386" s="306" t="s">
        <v>2365</v>
      </c>
      <c r="J386" s="304" t="s">
        <v>87</v>
      </c>
      <c r="K386" s="307">
        <v>43405</v>
      </c>
      <c r="L386" s="309">
        <v>45656</v>
      </c>
      <c r="M386" s="306" t="s">
        <v>205</v>
      </c>
      <c r="N386" s="304" t="s">
        <v>96</v>
      </c>
      <c r="O386" s="306" t="s">
        <v>69</v>
      </c>
      <c r="P386" s="304">
        <v>1</v>
      </c>
      <c r="Q386" s="304">
        <v>1</v>
      </c>
      <c r="R386" s="304">
        <v>1</v>
      </c>
      <c r="S386" s="308">
        <v>1</v>
      </c>
    </row>
    <row r="387" spans="1:19" ht="328">
      <c r="A387" s="303">
        <v>382</v>
      </c>
      <c r="B387" s="304">
        <v>424</v>
      </c>
      <c r="C387" s="305" t="s">
        <v>711</v>
      </c>
      <c r="D387" s="306" t="s">
        <v>712</v>
      </c>
      <c r="E387" s="305" t="s">
        <v>790</v>
      </c>
      <c r="F387" s="306" t="s">
        <v>70</v>
      </c>
      <c r="G387" s="306" t="s">
        <v>2362</v>
      </c>
      <c r="H387" s="306" t="s">
        <v>1344</v>
      </c>
      <c r="I387" s="306" t="s">
        <v>1345</v>
      </c>
      <c r="J387" s="304" t="s">
        <v>87</v>
      </c>
      <c r="K387" s="307">
        <v>43405</v>
      </c>
      <c r="L387" s="309">
        <v>45656</v>
      </c>
      <c r="M387" s="306" t="s">
        <v>211</v>
      </c>
      <c r="N387" s="304" t="s">
        <v>96</v>
      </c>
      <c r="O387" s="306" t="s">
        <v>69</v>
      </c>
      <c r="P387" s="304">
        <v>1</v>
      </c>
      <c r="Q387" s="304">
        <v>1</v>
      </c>
      <c r="R387" s="304">
        <v>1</v>
      </c>
      <c r="S387" s="308">
        <v>1</v>
      </c>
    </row>
    <row r="388" spans="1:19" ht="96">
      <c r="A388" s="303">
        <v>383</v>
      </c>
      <c r="B388" s="304">
        <v>425</v>
      </c>
      <c r="C388" s="305" t="s">
        <v>711</v>
      </c>
      <c r="D388" s="306" t="s">
        <v>712</v>
      </c>
      <c r="E388" s="305" t="s">
        <v>790</v>
      </c>
      <c r="F388" s="306" t="s">
        <v>70</v>
      </c>
      <c r="G388" s="306" t="s">
        <v>2362</v>
      </c>
      <c r="H388" s="306" t="s">
        <v>1347</v>
      </c>
      <c r="I388" s="306" t="s">
        <v>1348</v>
      </c>
      <c r="J388" s="304" t="s">
        <v>87</v>
      </c>
      <c r="K388" s="307">
        <v>43405</v>
      </c>
      <c r="L388" s="309">
        <v>45656</v>
      </c>
      <c r="M388" s="306" t="s">
        <v>207</v>
      </c>
      <c r="N388" s="304" t="s">
        <v>90</v>
      </c>
      <c r="O388" s="306" t="s">
        <v>69</v>
      </c>
      <c r="P388" s="304">
        <v>1</v>
      </c>
      <c r="Q388" s="304">
        <v>1</v>
      </c>
      <c r="R388" s="304">
        <v>1</v>
      </c>
      <c r="S388" s="308">
        <v>1</v>
      </c>
    </row>
    <row r="389" spans="1:19" ht="409.6">
      <c r="A389" s="303">
        <v>384</v>
      </c>
      <c r="B389" s="304">
        <v>426</v>
      </c>
      <c r="C389" s="305" t="s">
        <v>711</v>
      </c>
      <c r="D389" s="306" t="s">
        <v>712</v>
      </c>
      <c r="E389" s="305" t="s">
        <v>790</v>
      </c>
      <c r="F389" s="306" t="s">
        <v>70</v>
      </c>
      <c r="G389" s="306" t="s">
        <v>2362</v>
      </c>
      <c r="H389" s="306" t="s">
        <v>1349</v>
      </c>
      <c r="I389" s="306" t="s">
        <v>2366</v>
      </c>
      <c r="J389" s="304" t="s">
        <v>87</v>
      </c>
      <c r="K389" s="307">
        <v>43405</v>
      </c>
      <c r="L389" s="309">
        <v>45656</v>
      </c>
      <c r="M389" s="306" t="s">
        <v>205</v>
      </c>
      <c r="N389" s="304" t="s">
        <v>96</v>
      </c>
      <c r="O389" s="306" t="s">
        <v>69</v>
      </c>
      <c r="P389" s="304">
        <v>1</v>
      </c>
      <c r="Q389" s="304">
        <v>1</v>
      </c>
      <c r="R389" s="304">
        <v>1</v>
      </c>
      <c r="S389" s="308">
        <v>1</v>
      </c>
    </row>
    <row r="390" spans="1:19" ht="240">
      <c r="A390" s="303">
        <v>385</v>
      </c>
      <c r="B390" s="304">
        <v>427</v>
      </c>
      <c r="C390" s="305" t="s">
        <v>711</v>
      </c>
      <c r="D390" s="306" t="s">
        <v>712</v>
      </c>
      <c r="E390" s="305" t="s">
        <v>790</v>
      </c>
      <c r="F390" s="306" t="s">
        <v>70</v>
      </c>
      <c r="G390" s="306" t="s">
        <v>2362</v>
      </c>
      <c r="H390" s="306" t="s">
        <v>1353</v>
      </c>
      <c r="I390" s="306" t="s">
        <v>2367</v>
      </c>
      <c r="J390" s="304" t="s">
        <v>87</v>
      </c>
      <c r="K390" s="307">
        <v>43405</v>
      </c>
      <c r="L390" s="309">
        <v>45656</v>
      </c>
      <c r="M390" s="306" t="s">
        <v>214</v>
      </c>
      <c r="N390" s="304" t="s">
        <v>96</v>
      </c>
      <c r="O390" s="306" t="s">
        <v>69</v>
      </c>
      <c r="P390" s="304">
        <v>1</v>
      </c>
      <c r="Q390" s="304">
        <v>1</v>
      </c>
      <c r="R390" s="304">
        <v>1</v>
      </c>
      <c r="S390" s="308">
        <v>1</v>
      </c>
    </row>
    <row r="391" spans="1:19" ht="132">
      <c r="A391" s="303">
        <v>386</v>
      </c>
      <c r="B391" s="304">
        <v>428</v>
      </c>
      <c r="C391" s="305" t="s">
        <v>711</v>
      </c>
      <c r="D391" s="306" t="s">
        <v>712</v>
      </c>
      <c r="E391" s="305" t="s">
        <v>790</v>
      </c>
      <c r="F391" s="306" t="s">
        <v>70</v>
      </c>
      <c r="G391" s="306" t="s">
        <v>2362</v>
      </c>
      <c r="H391" s="306" t="s">
        <v>1355</v>
      </c>
      <c r="I391" s="306" t="s">
        <v>2368</v>
      </c>
      <c r="J391" s="304" t="s">
        <v>87</v>
      </c>
      <c r="K391" s="307">
        <v>43405</v>
      </c>
      <c r="L391" s="309">
        <v>45651</v>
      </c>
      <c r="M391" s="306" t="s">
        <v>207</v>
      </c>
      <c r="N391" s="304" t="s">
        <v>96</v>
      </c>
      <c r="O391" s="306" t="s">
        <v>69</v>
      </c>
      <c r="P391" s="304">
        <v>1</v>
      </c>
      <c r="Q391" s="304">
        <v>1</v>
      </c>
      <c r="R391" s="304">
        <v>1</v>
      </c>
      <c r="S391" s="308">
        <v>1</v>
      </c>
    </row>
    <row r="392" spans="1:19" ht="262">
      <c r="A392" s="303">
        <v>387</v>
      </c>
      <c r="B392" s="304">
        <v>429</v>
      </c>
      <c r="C392" s="305" t="s">
        <v>711</v>
      </c>
      <c r="D392" s="306" t="s">
        <v>712</v>
      </c>
      <c r="E392" s="305" t="s">
        <v>792</v>
      </c>
      <c r="F392" s="306" t="s">
        <v>27</v>
      </c>
      <c r="G392" s="306" t="s">
        <v>2369</v>
      </c>
      <c r="H392" s="306" t="s">
        <v>1138</v>
      </c>
      <c r="I392" s="306" t="s">
        <v>2370</v>
      </c>
      <c r="J392" s="304" t="s">
        <v>87</v>
      </c>
      <c r="K392" s="307">
        <v>43466</v>
      </c>
      <c r="L392" s="307">
        <v>43708</v>
      </c>
      <c r="M392" s="306" t="s">
        <v>205</v>
      </c>
      <c r="N392" s="304" t="s">
        <v>90</v>
      </c>
      <c r="O392" s="306" t="s">
        <v>51</v>
      </c>
      <c r="P392" s="304">
        <v>1</v>
      </c>
      <c r="Q392" s="304">
        <v>1</v>
      </c>
      <c r="R392" s="304">
        <v>1</v>
      </c>
      <c r="S392" s="308">
        <v>1</v>
      </c>
    </row>
    <row r="393" spans="1:19" ht="409.6">
      <c r="A393" s="303">
        <v>388</v>
      </c>
      <c r="B393" s="304">
        <v>430</v>
      </c>
      <c r="C393" s="305" t="s">
        <v>711</v>
      </c>
      <c r="D393" s="306" t="s">
        <v>712</v>
      </c>
      <c r="E393" s="305" t="s">
        <v>792</v>
      </c>
      <c r="F393" s="306" t="s">
        <v>27</v>
      </c>
      <c r="G393" s="306" t="s">
        <v>2369</v>
      </c>
      <c r="H393" s="306" t="s">
        <v>1140</v>
      </c>
      <c r="I393" s="306" t="s">
        <v>2371</v>
      </c>
      <c r="J393" s="304" t="s">
        <v>87</v>
      </c>
      <c r="K393" s="307">
        <v>43466</v>
      </c>
      <c r="L393" s="307">
        <v>43708</v>
      </c>
      <c r="M393" s="306" t="s">
        <v>205</v>
      </c>
      <c r="N393" s="304" t="s">
        <v>90</v>
      </c>
      <c r="O393" s="306" t="s">
        <v>51</v>
      </c>
      <c r="P393" s="304">
        <v>1</v>
      </c>
      <c r="Q393" s="304">
        <v>1</v>
      </c>
      <c r="R393" s="304">
        <v>1</v>
      </c>
      <c r="S393" s="308">
        <v>1</v>
      </c>
    </row>
    <row r="394" spans="1:19" ht="240">
      <c r="A394" s="303">
        <v>389</v>
      </c>
      <c r="B394" s="304">
        <v>431</v>
      </c>
      <c r="C394" s="305" t="s">
        <v>711</v>
      </c>
      <c r="D394" s="306" t="s">
        <v>712</v>
      </c>
      <c r="E394" s="305" t="s">
        <v>792</v>
      </c>
      <c r="F394" s="306" t="s">
        <v>27</v>
      </c>
      <c r="G394" s="306" t="s">
        <v>2369</v>
      </c>
      <c r="H394" s="306" t="s">
        <v>1142</v>
      </c>
      <c r="I394" s="306" t="s">
        <v>2372</v>
      </c>
      <c r="J394" s="304" t="s">
        <v>87</v>
      </c>
      <c r="K394" s="307">
        <v>43466</v>
      </c>
      <c r="L394" s="309">
        <v>43830</v>
      </c>
      <c r="M394" s="306" t="s">
        <v>205</v>
      </c>
      <c r="N394" s="304" t="s">
        <v>90</v>
      </c>
      <c r="O394" s="306" t="s">
        <v>51</v>
      </c>
      <c r="P394" s="304">
        <v>1</v>
      </c>
      <c r="Q394" s="304">
        <v>1</v>
      </c>
      <c r="R394" s="304">
        <v>1</v>
      </c>
      <c r="S394" s="308">
        <v>1</v>
      </c>
    </row>
    <row r="395" spans="1:19" ht="262">
      <c r="A395" s="303">
        <v>390</v>
      </c>
      <c r="B395" s="304">
        <v>432</v>
      </c>
      <c r="C395" s="305" t="s">
        <v>711</v>
      </c>
      <c r="D395" s="306" t="s">
        <v>712</v>
      </c>
      <c r="E395" s="305" t="s">
        <v>792</v>
      </c>
      <c r="F395" s="306" t="s">
        <v>27</v>
      </c>
      <c r="G395" s="306" t="s">
        <v>2369</v>
      </c>
      <c r="H395" s="306" t="s">
        <v>1145</v>
      </c>
      <c r="I395" s="306" t="s">
        <v>2373</v>
      </c>
      <c r="J395" s="304" t="s">
        <v>87</v>
      </c>
      <c r="K395" s="307">
        <v>43466</v>
      </c>
      <c r="L395" s="309">
        <v>43830</v>
      </c>
      <c r="M395" s="306" t="s">
        <v>205</v>
      </c>
      <c r="N395" s="304" t="s">
        <v>90</v>
      </c>
      <c r="O395" s="306" t="s">
        <v>51</v>
      </c>
      <c r="P395" s="304">
        <v>1</v>
      </c>
      <c r="Q395" s="304">
        <v>1</v>
      </c>
      <c r="R395" s="304">
        <v>1</v>
      </c>
      <c r="S395" s="308">
        <v>1</v>
      </c>
    </row>
    <row r="396" spans="1:19" ht="180">
      <c r="A396" s="303">
        <v>391</v>
      </c>
      <c r="B396" s="304">
        <v>433</v>
      </c>
      <c r="C396" s="305" t="s">
        <v>711</v>
      </c>
      <c r="D396" s="306" t="s">
        <v>712</v>
      </c>
      <c r="E396" s="305" t="s">
        <v>792</v>
      </c>
      <c r="F396" s="306" t="s">
        <v>27</v>
      </c>
      <c r="G396" s="306" t="s">
        <v>2369</v>
      </c>
      <c r="H396" s="306" t="s">
        <v>1147</v>
      </c>
      <c r="I396" s="306" t="s">
        <v>2374</v>
      </c>
      <c r="J396" s="304" t="s">
        <v>87</v>
      </c>
      <c r="K396" s="307">
        <v>43466</v>
      </c>
      <c r="L396" s="309">
        <v>43830</v>
      </c>
      <c r="M396" s="306" t="s">
        <v>205</v>
      </c>
      <c r="N396" s="304" t="s">
        <v>90</v>
      </c>
      <c r="O396" s="306" t="s">
        <v>51</v>
      </c>
      <c r="P396" s="304">
        <v>1</v>
      </c>
      <c r="Q396" s="304">
        <v>1</v>
      </c>
      <c r="R396" s="304">
        <v>1</v>
      </c>
      <c r="S396" s="308">
        <v>1</v>
      </c>
    </row>
    <row r="397" spans="1:19" ht="168">
      <c r="A397" s="303">
        <v>392</v>
      </c>
      <c r="B397" s="304">
        <v>434</v>
      </c>
      <c r="C397" s="305" t="s">
        <v>711</v>
      </c>
      <c r="D397" s="306" t="s">
        <v>712</v>
      </c>
      <c r="E397" s="305" t="s">
        <v>792</v>
      </c>
      <c r="F397" s="306" t="s">
        <v>27</v>
      </c>
      <c r="G397" s="306" t="s">
        <v>2369</v>
      </c>
      <c r="H397" s="306" t="s">
        <v>1149</v>
      </c>
      <c r="I397" s="306" t="s">
        <v>2375</v>
      </c>
      <c r="J397" s="304" t="s">
        <v>87</v>
      </c>
      <c r="K397" s="307">
        <v>43466</v>
      </c>
      <c r="L397" s="309">
        <v>45657</v>
      </c>
      <c r="M397" s="306" t="s">
        <v>205</v>
      </c>
      <c r="N397" s="304" t="s">
        <v>90</v>
      </c>
      <c r="O397" s="306" t="s">
        <v>51</v>
      </c>
      <c r="P397" s="304">
        <v>1</v>
      </c>
      <c r="Q397" s="304">
        <v>1</v>
      </c>
      <c r="R397" s="304">
        <v>1</v>
      </c>
      <c r="S397" s="308">
        <v>1</v>
      </c>
    </row>
    <row r="398" spans="1:19" ht="144">
      <c r="A398" s="303">
        <v>393</v>
      </c>
      <c r="B398" s="304">
        <v>435</v>
      </c>
      <c r="C398" s="305" t="s">
        <v>711</v>
      </c>
      <c r="D398" s="306" t="s">
        <v>712</v>
      </c>
      <c r="E398" s="305" t="s">
        <v>792</v>
      </c>
      <c r="F398" s="306" t="s">
        <v>27</v>
      </c>
      <c r="G398" s="306" t="s">
        <v>2369</v>
      </c>
      <c r="H398" s="306" t="s">
        <v>1152</v>
      </c>
      <c r="I398" s="306" t="s">
        <v>2376</v>
      </c>
      <c r="J398" s="304" t="s">
        <v>87</v>
      </c>
      <c r="K398" s="307">
        <v>43466</v>
      </c>
      <c r="L398" s="309">
        <v>44196</v>
      </c>
      <c r="M398" s="306" t="s">
        <v>89</v>
      </c>
      <c r="N398" s="304" t="s">
        <v>90</v>
      </c>
      <c r="O398" s="306" t="s">
        <v>51</v>
      </c>
      <c r="P398" s="304">
        <v>1</v>
      </c>
      <c r="Q398" s="304">
        <v>1</v>
      </c>
      <c r="R398" s="304">
        <v>1</v>
      </c>
      <c r="S398" s="308">
        <v>1</v>
      </c>
    </row>
    <row r="399" spans="1:19" ht="273">
      <c r="A399" s="303">
        <v>394</v>
      </c>
      <c r="B399" s="304">
        <v>436</v>
      </c>
      <c r="C399" s="305" t="s">
        <v>711</v>
      </c>
      <c r="D399" s="306" t="s">
        <v>712</v>
      </c>
      <c r="E399" s="305" t="s">
        <v>792</v>
      </c>
      <c r="F399" s="306" t="s">
        <v>27</v>
      </c>
      <c r="G399" s="306" t="s">
        <v>2369</v>
      </c>
      <c r="H399" s="306" t="s">
        <v>1154</v>
      </c>
      <c r="I399" s="306" t="s">
        <v>2377</v>
      </c>
      <c r="J399" s="304" t="s">
        <v>87</v>
      </c>
      <c r="K399" s="307">
        <v>43466</v>
      </c>
      <c r="L399" s="309">
        <v>45657</v>
      </c>
      <c r="M399" s="306" t="s">
        <v>205</v>
      </c>
      <c r="N399" s="304" t="s">
        <v>96</v>
      </c>
      <c r="O399" s="306" t="s">
        <v>51</v>
      </c>
      <c r="P399" s="304">
        <v>1</v>
      </c>
      <c r="Q399" s="304">
        <v>1</v>
      </c>
      <c r="R399" s="304">
        <v>1</v>
      </c>
      <c r="S399" s="308">
        <v>1</v>
      </c>
    </row>
    <row r="400" spans="1:19" ht="144">
      <c r="A400" s="303">
        <v>395</v>
      </c>
      <c r="B400" s="304">
        <v>437</v>
      </c>
      <c r="C400" s="305" t="s">
        <v>711</v>
      </c>
      <c r="D400" s="306" t="s">
        <v>712</v>
      </c>
      <c r="E400" s="305" t="s">
        <v>792</v>
      </c>
      <c r="F400" s="306" t="s">
        <v>27</v>
      </c>
      <c r="G400" s="306" t="s">
        <v>2369</v>
      </c>
      <c r="H400" s="306" t="s">
        <v>1156</v>
      </c>
      <c r="I400" s="306" t="s">
        <v>2378</v>
      </c>
      <c r="J400" s="304" t="s">
        <v>87</v>
      </c>
      <c r="K400" s="307">
        <v>43466</v>
      </c>
      <c r="L400" s="309">
        <v>44196</v>
      </c>
      <c r="M400" s="306" t="s">
        <v>205</v>
      </c>
      <c r="N400" s="304" t="s">
        <v>96</v>
      </c>
      <c r="O400" s="306" t="s">
        <v>51</v>
      </c>
      <c r="P400" s="304">
        <v>1</v>
      </c>
      <c r="Q400" s="304">
        <v>1</v>
      </c>
      <c r="R400" s="304">
        <v>1</v>
      </c>
      <c r="S400" s="308">
        <v>1</v>
      </c>
    </row>
    <row r="401" spans="1:19" ht="295">
      <c r="A401" s="303">
        <v>396</v>
      </c>
      <c r="B401" s="304">
        <v>438</v>
      </c>
      <c r="C401" s="305" t="s">
        <v>711</v>
      </c>
      <c r="D401" s="306" t="s">
        <v>712</v>
      </c>
      <c r="E401" s="305" t="s">
        <v>792</v>
      </c>
      <c r="F401" s="306" t="s">
        <v>27</v>
      </c>
      <c r="G401" s="306" t="s">
        <v>2369</v>
      </c>
      <c r="H401" s="306" t="s">
        <v>2379</v>
      </c>
      <c r="I401" s="306" t="s">
        <v>2380</v>
      </c>
      <c r="J401" s="304" t="s">
        <v>87</v>
      </c>
      <c r="K401" s="307">
        <v>43466</v>
      </c>
      <c r="L401" s="309">
        <v>45657</v>
      </c>
      <c r="M401" s="306" t="s">
        <v>205</v>
      </c>
      <c r="N401" s="304" t="s">
        <v>96</v>
      </c>
      <c r="O401" s="306" t="s">
        <v>51</v>
      </c>
      <c r="P401" s="304">
        <v>1</v>
      </c>
      <c r="Q401" s="304">
        <v>1</v>
      </c>
      <c r="R401" s="304">
        <v>1</v>
      </c>
      <c r="S401" s="308">
        <v>1</v>
      </c>
    </row>
    <row r="402" spans="1:19" ht="156">
      <c r="A402" s="303">
        <v>397</v>
      </c>
      <c r="B402" s="304">
        <v>439</v>
      </c>
      <c r="C402" s="305" t="s">
        <v>711</v>
      </c>
      <c r="D402" s="306" t="s">
        <v>712</v>
      </c>
      <c r="E402" s="305" t="s">
        <v>792</v>
      </c>
      <c r="F402" s="306" t="s">
        <v>27</v>
      </c>
      <c r="G402" s="306" t="s">
        <v>2369</v>
      </c>
      <c r="H402" s="306" t="s">
        <v>1161</v>
      </c>
      <c r="I402" s="306" t="s">
        <v>2381</v>
      </c>
      <c r="J402" s="304" t="s">
        <v>87</v>
      </c>
      <c r="K402" s="307">
        <v>43466</v>
      </c>
      <c r="L402" s="309">
        <v>44561</v>
      </c>
      <c r="M402" s="306" t="s">
        <v>205</v>
      </c>
      <c r="N402" s="304" t="s">
        <v>96</v>
      </c>
      <c r="O402" s="306" t="s">
        <v>51</v>
      </c>
      <c r="P402" s="304">
        <v>1</v>
      </c>
      <c r="Q402" s="304">
        <v>1</v>
      </c>
      <c r="R402" s="304">
        <v>1</v>
      </c>
      <c r="S402" s="308">
        <v>1</v>
      </c>
    </row>
    <row r="403" spans="1:19" ht="180">
      <c r="A403" s="303">
        <v>398</v>
      </c>
      <c r="B403" s="304">
        <v>440</v>
      </c>
      <c r="C403" s="305" t="s">
        <v>711</v>
      </c>
      <c r="D403" s="306" t="s">
        <v>712</v>
      </c>
      <c r="E403" s="305" t="s">
        <v>792</v>
      </c>
      <c r="F403" s="306" t="s">
        <v>27</v>
      </c>
      <c r="G403" s="306" t="s">
        <v>2369</v>
      </c>
      <c r="H403" s="306" t="s">
        <v>1164</v>
      </c>
      <c r="I403" s="306" t="s">
        <v>2382</v>
      </c>
      <c r="J403" s="304" t="s">
        <v>87</v>
      </c>
      <c r="K403" s="307">
        <v>43466</v>
      </c>
      <c r="L403" s="309">
        <v>45657</v>
      </c>
      <c r="M403" s="306" t="s">
        <v>205</v>
      </c>
      <c r="N403" s="304" t="s">
        <v>96</v>
      </c>
      <c r="O403" s="306" t="s">
        <v>51</v>
      </c>
      <c r="P403" s="304">
        <v>1</v>
      </c>
      <c r="Q403" s="304">
        <v>1</v>
      </c>
      <c r="R403" s="304">
        <v>1</v>
      </c>
      <c r="S403" s="308">
        <v>1</v>
      </c>
    </row>
    <row r="404" spans="1:19" ht="409.6">
      <c r="A404" s="303">
        <v>399</v>
      </c>
      <c r="B404" s="304">
        <v>441</v>
      </c>
      <c r="C404" s="305" t="s">
        <v>711</v>
      </c>
      <c r="D404" s="306" t="s">
        <v>712</v>
      </c>
      <c r="E404" s="305" t="s">
        <v>792</v>
      </c>
      <c r="F404" s="306" t="s">
        <v>27</v>
      </c>
      <c r="G404" s="306" t="s">
        <v>2369</v>
      </c>
      <c r="H404" s="306" t="s">
        <v>1167</v>
      </c>
      <c r="I404" s="306" t="s">
        <v>2383</v>
      </c>
      <c r="J404" s="304" t="s">
        <v>87</v>
      </c>
      <c r="K404" s="307">
        <v>43466</v>
      </c>
      <c r="L404" s="309">
        <v>45657</v>
      </c>
      <c r="M404" s="306" t="s">
        <v>95</v>
      </c>
      <c r="N404" s="304" t="s">
        <v>96</v>
      </c>
      <c r="O404" s="306" t="s">
        <v>51</v>
      </c>
      <c r="P404" s="304">
        <v>1</v>
      </c>
      <c r="Q404" s="304">
        <v>1</v>
      </c>
      <c r="R404" s="304">
        <v>1</v>
      </c>
      <c r="S404" s="308">
        <v>1</v>
      </c>
    </row>
    <row r="405" spans="1:19" ht="192">
      <c r="A405" s="303">
        <v>400</v>
      </c>
      <c r="B405" s="304">
        <v>442</v>
      </c>
      <c r="C405" s="305" t="s">
        <v>711</v>
      </c>
      <c r="D405" s="306" t="s">
        <v>712</v>
      </c>
      <c r="E405" s="305" t="s">
        <v>792</v>
      </c>
      <c r="F405" s="306" t="s">
        <v>27</v>
      </c>
      <c r="G405" s="306" t="s">
        <v>2369</v>
      </c>
      <c r="H405" s="306" t="s">
        <v>1169</v>
      </c>
      <c r="I405" s="306" t="s">
        <v>2384</v>
      </c>
      <c r="J405" s="304" t="s">
        <v>87</v>
      </c>
      <c r="K405" s="307">
        <v>43466</v>
      </c>
      <c r="L405" s="309">
        <v>45657</v>
      </c>
      <c r="M405" s="306" t="s">
        <v>205</v>
      </c>
      <c r="N405" s="304" t="s">
        <v>96</v>
      </c>
      <c r="O405" s="306" t="s">
        <v>51</v>
      </c>
      <c r="P405" s="304">
        <v>1</v>
      </c>
      <c r="Q405" s="304">
        <v>1</v>
      </c>
      <c r="R405" s="304">
        <v>1</v>
      </c>
      <c r="S405" s="308">
        <v>1</v>
      </c>
    </row>
    <row r="406" spans="1:19" ht="273">
      <c r="A406" s="303">
        <v>401</v>
      </c>
      <c r="B406" s="304">
        <v>443</v>
      </c>
      <c r="C406" s="305" t="s">
        <v>711</v>
      </c>
      <c r="D406" s="306" t="s">
        <v>712</v>
      </c>
      <c r="E406" s="305" t="s">
        <v>792</v>
      </c>
      <c r="F406" s="306" t="s">
        <v>27</v>
      </c>
      <c r="G406" s="306" t="s">
        <v>2369</v>
      </c>
      <c r="H406" s="306" t="s">
        <v>1172</v>
      </c>
      <c r="I406" s="306" t="s">
        <v>2385</v>
      </c>
      <c r="J406" s="304" t="s">
        <v>87</v>
      </c>
      <c r="K406" s="307">
        <v>43466</v>
      </c>
      <c r="L406" s="309">
        <v>45657</v>
      </c>
      <c r="M406" s="306" t="s">
        <v>205</v>
      </c>
      <c r="N406" s="304" t="s">
        <v>96</v>
      </c>
      <c r="O406" s="306" t="s">
        <v>51</v>
      </c>
      <c r="P406" s="304">
        <v>1</v>
      </c>
      <c r="Q406" s="304">
        <v>1</v>
      </c>
      <c r="R406" s="304">
        <v>1</v>
      </c>
      <c r="S406" s="308">
        <v>1</v>
      </c>
    </row>
    <row r="407" spans="1:19" ht="144">
      <c r="A407" s="303">
        <v>402</v>
      </c>
      <c r="B407" s="304">
        <v>444</v>
      </c>
      <c r="C407" s="305" t="s">
        <v>711</v>
      </c>
      <c r="D407" s="306" t="s">
        <v>712</v>
      </c>
      <c r="E407" s="305" t="s">
        <v>792</v>
      </c>
      <c r="F407" s="306" t="s">
        <v>27</v>
      </c>
      <c r="G407" s="306" t="s">
        <v>2369</v>
      </c>
      <c r="H407" s="306" t="s">
        <v>1174</v>
      </c>
      <c r="I407" s="306" t="s">
        <v>2386</v>
      </c>
      <c r="J407" s="304" t="s">
        <v>87</v>
      </c>
      <c r="K407" s="307">
        <v>43466</v>
      </c>
      <c r="L407" s="309">
        <v>45657</v>
      </c>
      <c r="M407" s="306" t="s">
        <v>205</v>
      </c>
      <c r="N407" s="304" t="s">
        <v>96</v>
      </c>
      <c r="O407" s="306" t="s">
        <v>51</v>
      </c>
      <c r="P407" s="304">
        <v>1</v>
      </c>
      <c r="Q407" s="304">
        <v>1</v>
      </c>
      <c r="R407" s="304">
        <v>1</v>
      </c>
      <c r="S407" s="308">
        <v>1</v>
      </c>
    </row>
    <row r="408" spans="1:19" ht="144">
      <c r="A408" s="303">
        <v>403</v>
      </c>
      <c r="B408" s="304">
        <v>445</v>
      </c>
      <c r="C408" s="305" t="s">
        <v>711</v>
      </c>
      <c r="D408" s="306" t="s">
        <v>712</v>
      </c>
      <c r="E408" s="305" t="s">
        <v>792</v>
      </c>
      <c r="F408" s="306" t="s">
        <v>27</v>
      </c>
      <c r="G408" s="306" t="s">
        <v>2369</v>
      </c>
      <c r="H408" s="306" t="s">
        <v>2387</v>
      </c>
      <c r="I408" s="306" t="s">
        <v>2388</v>
      </c>
      <c r="J408" s="304" t="s">
        <v>97</v>
      </c>
      <c r="K408" s="307">
        <v>43466</v>
      </c>
      <c r="L408" s="309">
        <v>45657</v>
      </c>
      <c r="M408" s="306" t="s">
        <v>205</v>
      </c>
      <c r="N408" s="304" t="s">
        <v>96</v>
      </c>
      <c r="O408" s="306" t="s">
        <v>51</v>
      </c>
      <c r="P408" s="304">
        <v>1</v>
      </c>
      <c r="Q408" s="304">
        <v>1</v>
      </c>
      <c r="R408" s="304">
        <v>1</v>
      </c>
      <c r="S408" s="308">
        <v>1</v>
      </c>
    </row>
    <row r="409" spans="1:19" ht="144">
      <c r="A409" s="303">
        <v>404</v>
      </c>
      <c r="B409" s="304">
        <v>446</v>
      </c>
      <c r="C409" s="305" t="s">
        <v>711</v>
      </c>
      <c r="D409" s="306" t="s">
        <v>712</v>
      </c>
      <c r="E409" s="305" t="s">
        <v>792</v>
      </c>
      <c r="F409" s="306" t="s">
        <v>27</v>
      </c>
      <c r="G409" s="306" t="s">
        <v>2369</v>
      </c>
      <c r="H409" s="306" t="s">
        <v>1177</v>
      </c>
      <c r="I409" s="306" t="s">
        <v>1178</v>
      </c>
      <c r="J409" s="304" t="s">
        <v>87</v>
      </c>
      <c r="K409" s="307">
        <v>43466</v>
      </c>
      <c r="L409" s="309">
        <v>45657</v>
      </c>
      <c r="M409" s="306" t="s">
        <v>205</v>
      </c>
      <c r="N409" s="304" t="s">
        <v>96</v>
      </c>
      <c r="O409" s="306" t="s">
        <v>51</v>
      </c>
      <c r="P409" s="304">
        <v>1</v>
      </c>
      <c r="Q409" s="304">
        <v>1</v>
      </c>
      <c r="R409" s="304">
        <v>1</v>
      </c>
      <c r="S409" s="308">
        <v>1</v>
      </c>
    </row>
    <row r="410" spans="1:19" ht="394">
      <c r="A410" s="303">
        <v>405</v>
      </c>
      <c r="B410" s="304">
        <v>447</v>
      </c>
      <c r="C410" s="305" t="s">
        <v>711</v>
      </c>
      <c r="D410" s="306" t="s">
        <v>712</v>
      </c>
      <c r="E410" s="305" t="s">
        <v>795</v>
      </c>
      <c r="F410" s="306" t="s">
        <v>31</v>
      </c>
      <c r="G410" s="306" t="s">
        <v>2389</v>
      </c>
      <c r="H410" s="306" t="s">
        <v>2390</v>
      </c>
      <c r="I410" s="306" t="s">
        <v>2391</v>
      </c>
      <c r="J410" s="304" t="s">
        <v>87</v>
      </c>
      <c r="K410" s="307">
        <v>43466</v>
      </c>
      <c r="L410" s="309">
        <v>45657</v>
      </c>
      <c r="M410" s="306" t="s">
        <v>209</v>
      </c>
      <c r="N410" s="304" t="s">
        <v>90</v>
      </c>
      <c r="O410" s="306" t="s">
        <v>67</v>
      </c>
      <c r="P410" s="304">
        <v>1</v>
      </c>
      <c r="Q410" s="304">
        <v>1</v>
      </c>
      <c r="R410" s="304">
        <v>1</v>
      </c>
      <c r="S410" s="308">
        <v>1</v>
      </c>
    </row>
    <row r="411" spans="1:19" ht="409.6">
      <c r="A411" s="303">
        <v>406</v>
      </c>
      <c r="B411" s="304">
        <v>448</v>
      </c>
      <c r="C411" s="305" t="s">
        <v>711</v>
      </c>
      <c r="D411" s="306" t="s">
        <v>712</v>
      </c>
      <c r="E411" s="305" t="s">
        <v>795</v>
      </c>
      <c r="F411" s="306" t="s">
        <v>31</v>
      </c>
      <c r="G411" s="306" t="s">
        <v>2389</v>
      </c>
      <c r="H411" s="306" t="s">
        <v>2392</v>
      </c>
      <c r="I411" s="306" t="s">
        <v>2393</v>
      </c>
      <c r="J411" s="304" t="s">
        <v>87</v>
      </c>
      <c r="K411" s="307">
        <v>43466</v>
      </c>
      <c r="L411" s="309">
        <v>45657</v>
      </c>
      <c r="M411" s="306" t="s">
        <v>207</v>
      </c>
      <c r="N411" s="304" t="s">
        <v>90</v>
      </c>
      <c r="O411" s="306" t="s">
        <v>5</v>
      </c>
      <c r="P411" s="304">
        <v>1</v>
      </c>
      <c r="Q411" s="304">
        <v>1</v>
      </c>
      <c r="R411" s="304">
        <v>1</v>
      </c>
      <c r="S411" s="308">
        <v>1</v>
      </c>
    </row>
    <row r="412" spans="1:19" ht="216">
      <c r="A412" s="303">
        <v>407</v>
      </c>
      <c r="B412" s="304">
        <v>449</v>
      </c>
      <c r="C412" s="305" t="s">
        <v>711</v>
      </c>
      <c r="D412" s="306" t="s">
        <v>712</v>
      </c>
      <c r="E412" s="305" t="s">
        <v>795</v>
      </c>
      <c r="F412" s="306" t="s">
        <v>31</v>
      </c>
      <c r="G412" s="306" t="s">
        <v>2389</v>
      </c>
      <c r="H412" s="306" t="s">
        <v>2394</v>
      </c>
      <c r="I412" s="306" t="s">
        <v>2395</v>
      </c>
      <c r="J412" s="304" t="s">
        <v>87</v>
      </c>
      <c r="K412" s="307">
        <v>43466</v>
      </c>
      <c r="L412" s="309">
        <v>45656</v>
      </c>
      <c r="M412" s="306" t="s">
        <v>207</v>
      </c>
      <c r="N412" s="304" t="s">
        <v>90</v>
      </c>
      <c r="O412" s="306" t="s">
        <v>23</v>
      </c>
      <c r="P412" s="304">
        <v>1</v>
      </c>
      <c r="Q412" s="304">
        <v>1</v>
      </c>
      <c r="R412" s="304">
        <v>1</v>
      </c>
      <c r="S412" s="308">
        <v>1</v>
      </c>
    </row>
    <row r="413" spans="1:19" ht="204">
      <c r="A413" s="303">
        <v>408</v>
      </c>
      <c r="B413" s="304">
        <v>450</v>
      </c>
      <c r="C413" s="305" t="s">
        <v>711</v>
      </c>
      <c r="D413" s="306" t="s">
        <v>712</v>
      </c>
      <c r="E413" s="305" t="s">
        <v>795</v>
      </c>
      <c r="F413" s="306" t="s">
        <v>31</v>
      </c>
      <c r="G413" s="306" t="s">
        <v>2389</v>
      </c>
      <c r="H413" s="306" t="s">
        <v>2396</v>
      </c>
      <c r="I413" s="306" t="s">
        <v>2397</v>
      </c>
      <c r="J413" s="304" t="s">
        <v>87</v>
      </c>
      <c r="K413" s="307">
        <v>43466</v>
      </c>
      <c r="L413" s="309">
        <v>45656</v>
      </c>
      <c r="M413" s="306" t="s">
        <v>207</v>
      </c>
      <c r="N413" s="304" t="s">
        <v>90</v>
      </c>
      <c r="O413" s="306" t="s">
        <v>46</v>
      </c>
      <c r="P413" s="304">
        <v>1</v>
      </c>
      <c r="Q413" s="304">
        <v>1</v>
      </c>
      <c r="R413" s="304">
        <v>1</v>
      </c>
      <c r="S413" s="308">
        <v>1</v>
      </c>
    </row>
    <row r="414" spans="1:19" ht="180">
      <c r="A414" s="303">
        <v>409</v>
      </c>
      <c r="B414" s="304">
        <v>633</v>
      </c>
      <c r="C414" s="305" t="s">
        <v>288</v>
      </c>
      <c r="D414" s="306" t="s">
        <v>724</v>
      </c>
      <c r="E414" s="305" t="s">
        <v>299</v>
      </c>
      <c r="F414" s="306" t="s">
        <v>35</v>
      </c>
      <c r="G414" s="306" t="s">
        <v>2399</v>
      </c>
      <c r="H414" s="306" t="s">
        <v>297</v>
      </c>
      <c r="I414" s="306" t="s">
        <v>2400</v>
      </c>
      <c r="J414" s="304" t="s">
        <v>87</v>
      </c>
      <c r="K414" s="307">
        <v>43388</v>
      </c>
      <c r="L414" s="307">
        <v>43565</v>
      </c>
      <c r="M414" s="306" t="s">
        <v>221</v>
      </c>
      <c r="N414" s="304" t="s">
        <v>90</v>
      </c>
      <c r="O414" s="306" t="s">
        <v>5</v>
      </c>
      <c r="P414" s="304">
        <v>1</v>
      </c>
      <c r="Q414" s="304">
        <v>1</v>
      </c>
      <c r="R414" s="304">
        <v>1</v>
      </c>
      <c r="S414" s="308">
        <v>1</v>
      </c>
    </row>
    <row r="415" spans="1:19" ht="108">
      <c r="A415" s="303">
        <v>410</v>
      </c>
      <c r="B415" s="304">
        <v>634</v>
      </c>
      <c r="C415" s="305" t="s">
        <v>288</v>
      </c>
      <c r="D415" s="306" t="s">
        <v>724</v>
      </c>
      <c r="E415" s="305" t="s">
        <v>299</v>
      </c>
      <c r="F415" s="306" t="s">
        <v>35</v>
      </c>
      <c r="G415" s="306" t="s">
        <v>2399</v>
      </c>
      <c r="H415" s="306" t="s">
        <v>2402</v>
      </c>
      <c r="I415" s="306" t="s">
        <v>2403</v>
      </c>
      <c r="J415" s="304" t="s">
        <v>87</v>
      </c>
      <c r="K415" s="307">
        <v>43388</v>
      </c>
      <c r="L415" s="309">
        <v>45646</v>
      </c>
      <c r="M415" s="306" t="s">
        <v>205</v>
      </c>
      <c r="N415" s="304" t="s">
        <v>90</v>
      </c>
      <c r="O415" s="306" t="s">
        <v>5</v>
      </c>
      <c r="P415" s="304">
        <v>1</v>
      </c>
      <c r="Q415" s="304">
        <v>1</v>
      </c>
      <c r="R415" s="304">
        <v>1</v>
      </c>
      <c r="S415" s="308">
        <v>1</v>
      </c>
    </row>
    <row r="416" spans="1:19" ht="144">
      <c r="A416" s="303">
        <v>411</v>
      </c>
      <c r="B416" s="304">
        <v>635</v>
      </c>
      <c r="C416" s="305" t="s">
        <v>288</v>
      </c>
      <c r="D416" s="306" t="s">
        <v>724</v>
      </c>
      <c r="E416" s="305" t="s">
        <v>299</v>
      </c>
      <c r="F416" s="306" t="s">
        <v>35</v>
      </c>
      <c r="G416" s="306" t="s">
        <v>2399</v>
      </c>
      <c r="H416" s="306" t="s">
        <v>2404</v>
      </c>
      <c r="I416" s="306" t="s">
        <v>2405</v>
      </c>
      <c r="J416" s="304" t="s">
        <v>87</v>
      </c>
      <c r="K416" s="307">
        <v>43388</v>
      </c>
      <c r="L416" s="309">
        <v>45646</v>
      </c>
      <c r="M416" s="306" t="s">
        <v>207</v>
      </c>
      <c r="N416" s="304" t="s">
        <v>90</v>
      </c>
      <c r="O416" s="306" t="s">
        <v>63</v>
      </c>
      <c r="P416" s="304">
        <v>1</v>
      </c>
      <c r="Q416" s="304">
        <v>1</v>
      </c>
      <c r="R416" s="304">
        <v>1</v>
      </c>
      <c r="S416" s="308">
        <v>1</v>
      </c>
    </row>
    <row r="417" spans="1:19" ht="108">
      <c r="A417" s="303">
        <v>412</v>
      </c>
      <c r="B417" s="304">
        <v>636</v>
      </c>
      <c r="C417" s="305" t="s">
        <v>288</v>
      </c>
      <c r="D417" s="306" t="s">
        <v>724</v>
      </c>
      <c r="E417" s="305" t="s">
        <v>299</v>
      </c>
      <c r="F417" s="306" t="s">
        <v>35</v>
      </c>
      <c r="G417" s="306" t="s">
        <v>2399</v>
      </c>
      <c r="H417" s="306" t="s">
        <v>2406</v>
      </c>
      <c r="I417" s="306" t="s">
        <v>2407</v>
      </c>
      <c r="J417" s="304" t="s">
        <v>87</v>
      </c>
      <c r="K417" s="307">
        <v>43388</v>
      </c>
      <c r="L417" s="309">
        <v>43819</v>
      </c>
      <c r="M417" s="306" t="s">
        <v>221</v>
      </c>
      <c r="N417" s="304" t="s">
        <v>90</v>
      </c>
      <c r="O417" s="306" t="s">
        <v>5</v>
      </c>
      <c r="P417" s="304">
        <v>1</v>
      </c>
      <c r="Q417" s="304">
        <v>1</v>
      </c>
      <c r="R417" s="304">
        <v>1</v>
      </c>
      <c r="S417" s="308">
        <v>1</v>
      </c>
    </row>
    <row r="418" spans="1:19" ht="132">
      <c r="A418" s="303">
        <v>413</v>
      </c>
      <c r="B418" s="304">
        <v>637</v>
      </c>
      <c r="C418" s="305" t="s">
        <v>288</v>
      </c>
      <c r="D418" s="306" t="s">
        <v>724</v>
      </c>
      <c r="E418" s="305" t="s">
        <v>299</v>
      </c>
      <c r="F418" s="306" t="s">
        <v>35</v>
      </c>
      <c r="G418" s="306" t="s">
        <v>2399</v>
      </c>
      <c r="H418" s="306" t="s">
        <v>2408</v>
      </c>
      <c r="I418" s="306" t="s">
        <v>2409</v>
      </c>
      <c r="J418" s="304" t="s">
        <v>87</v>
      </c>
      <c r="K418" s="307">
        <v>43388</v>
      </c>
      <c r="L418" s="309">
        <v>43819</v>
      </c>
      <c r="M418" s="306" t="s">
        <v>221</v>
      </c>
      <c r="N418" s="304" t="s">
        <v>90</v>
      </c>
      <c r="O418" s="306" t="s">
        <v>55</v>
      </c>
      <c r="P418" s="304">
        <v>1</v>
      </c>
      <c r="Q418" s="304">
        <v>1</v>
      </c>
      <c r="R418" s="304">
        <v>1</v>
      </c>
      <c r="S418" s="308">
        <v>1</v>
      </c>
    </row>
    <row r="419" spans="1:19" ht="108">
      <c r="A419" s="303">
        <v>414</v>
      </c>
      <c r="B419" s="304">
        <v>638</v>
      </c>
      <c r="C419" s="305" t="s">
        <v>288</v>
      </c>
      <c r="D419" s="306" t="s">
        <v>724</v>
      </c>
      <c r="E419" s="305" t="s">
        <v>299</v>
      </c>
      <c r="F419" s="306" t="s">
        <v>35</v>
      </c>
      <c r="G419" s="306" t="s">
        <v>2399</v>
      </c>
      <c r="H419" s="306" t="s">
        <v>2410</v>
      </c>
      <c r="I419" s="306" t="s">
        <v>2411</v>
      </c>
      <c r="J419" s="304" t="s">
        <v>97</v>
      </c>
      <c r="K419" s="307">
        <v>43388</v>
      </c>
      <c r="L419" s="307">
        <v>43800</v>
      </c>
      <c r="M419" s="306" t="s">
        <v>89</v>
      </c>
      <c r="N419" s="304" t="s">
        <v>90</v>
      </c>
      <c r="O419" s="306" t="s">
        <v>55</v>
      </c>
      <c r="P419" s="304">
        <v>1</v>
      </c>
      <c r="Q419" s="304">
        <v>1</v>
      </c>
      <c r="R419" s="304">
        <v>1</v>
      </c>
      <c r="S419" s="308">
        <v>1</v>
      </c>
    </row>
    <row r="420" spans="1:19" ht="108">
      <c r="A420" s="303">
        <v>415</v>
      </c>
      <c r="B420" s="304">
        <v>639</v>
      </c>
      <c r="C420" s="305" t="s">
        <v>288</v>
      </c>
      <c r="D420" s="306" t="s">
        <v>724</v>
      </c>
      <c r="E420" s="305" t="s">
        <v>299</v>
      </c>
      <c r="F420" s="306" t="s">
        <v>35</v>
      </c>
      <c r="G420" s="306" t="s">
        <v>2399</v>
      </c>
      <c r="H420" s="306" t="s">
        <v>2412</v>
      </c>
      <c r="I420" s="306" t="s">
        <v>2413</v>
      </c>
      <c r="J420" s="304" t="s">
        <v>87</v>
      </c>
      <c r="K420" s="307">
        <v>43388</v>
      </c>
      <c r="L420" s="309">
        <v>43819</v>
      </c>
      <c r="M420" s="306" t="s">
        <v>221</v>
      </c>
      <c r="N420" s="304" t="s">
        <v>90</v>
      </c>
      <c r="O420" s="306" t="s">
        <v>5</v>
      </c>
      <c r="P420" s="304">
        <v>1</v>
      </c>
      <c r="Q420" s="304">
        <v>1</v>
      </c>
      <c r="R420" s="304">
        <v>1</v>
      </c>
      <c r="S420" s="308">
        <v>1</v>
      </c>
    </row>
    <row r="421" spans="1:19" ht="108">
      <c r="A421" s="303">
        <v>416</v>
      </c>
      <c r="B421" s="304">
        <v>640</v>
      </c>
      <c r="C421" s="305" t="s">
        <v>288</v>
      </c>
      <c r="D421" s="306" t="s">
        <v>724</v>
      </c>
      <c r="E421" s="305" t="s">
        <v>299</v>
      </c>
      <c r="F421" s="306" t="s">
        <v>35</v>
      </c>
      <c r="G421" s="306" t="s">
        <v>2399</v>
      </c>
      <c r="H421" s="306" t="s">
        <v>338</v>
      </c>
      <c r="I421" s="306" t="s">
        <v>2414</v>
      </c>
      <c r="J421" s="304" t="s">
        <v>87</v>
      </c>
      <c r="K421" s="307">
        <v>43388</v>
      </c>
      <c r="L421" s="307">
        <v>43647</v>
      </c>
      <c r="M421" s="306" t="s">
        <v>221</v>
      </c>
      <c r="N421" s="304" t="s">
        <v>90</v>
      </c>
      <c r="O421" s="306" t="s">
        <v>5</v>
      </c>
      <c r="P421" s="304">
        <v>1</v>
      </c>
      <c r="Q421" s="304">
        <v>1</v>
      </c>
      <c r="R421" s="304">
        <v>1</v>
      </c>
      <c r="S421" s="308">
        <v>1</v>
      </c>
    </row>
    <row r="422" spans="1:19" ht="108">
      <c r="A422" s="303">
        <v>417</v>
      </c>
      <c r="B422" s="304">
        <v>641</v>
      </c>
      <c r="C422" s="305" t="s">
        <v>288</v>
      </c>
      <c r="D422" s="306" t="s">
        <v>724</v>
      </c>
      <c r="E422" s="305" t="s">
        <v>299</v>
      </c>
      <c r="F422" s="306" t="s">
        <v>35</v>
      </c>
      <c r="G422" s="306" t="s">
        <v>2399</v>
      </c>
      <c r="H422" s="306" t="s">
        <v>2415</v>
      </c>
      <c r="I422" s="306" t="s">
        <v>2416</v>
      </c>
      <c r="J422" s="304" t="s">
        <v>97</v>
      </c>
      <c r="K422" s="307">
        <v>43388</v>
      </c>
      <c r="L422" s="307">
        <v>43677</v>
      </c>
      <c r="M422" s="306" t="s">
        <v>89</v>
      </c>
      <c r="N422" s="304" t="s">
        <v>90</v>
      </c>
      <c r="O422" s="306" t="s">
        <v>5</v>
      </c>
      <c r="P422" s="304">
        <v>1</v>
      </c>
      <c r="Q422" s="304">
        <v>1</v>
      </c>
      <c r="R422" s="304">
        <v>1</v>
      </c>
      <c r="S422" s="308">
        <v>1</v>
      </c>
    </row>
    <row r="423" spans="1:19" ht="108">
      <c r="A423" s="303">
        <v>418</v>
      </c>
      <c r="B423" s="304">
        <v>642</v>
      </c>
      <c r="C423" s="305" t="s">
        <v>288</v>
      </c>
      <c r="D423" s="306" t="s">
        <v>724</v>
      </c>
      <c r="E423" s="305" t="s">
        <v>299</v>
      </c>
      <c r="F423" s="306" t="s">
        <v>35</v>
      </c>
      <c r="G423" s="306" t="s">
        <v>2399</v>
      </c>
      <c r="H423" s="306" t="s">
        <v>2417</v>
      </c>
      <c r="I423" s="306" t="s">
        <v>2418</v>
      </c>
      <c r="J423" s="304" t="s">
        <v>87</v>
      </c>
      <c r="K423" s="307">
        <v>43388</v>
      </c>
      <c r="L423" s="309">
        <v>45646</v>
      </c>
      <c r="M423" s="306" t="s">
        <v>221</v>
      </c>
      <c r="N423" s="304" t="s">
        <v>90</v>
      </c>
      <c r="O423" s="306" t="s">
        <v>5</v>
      </c>
      <c r="P423" s="304">
        <v>1</v>
      </c>
      <c r="Q423" s="304">
        <v>1</v>
      </c>
      <c r="R423" s="304">
        <v>1</v>
      </c>
      <c r="S423" s="308">
        <v>1</v>
      </c>
    </row>
    <row r="424" spans="1:19" ht="108">
      <c r="A424" s="303">
        <v>419</v>
      </c>
      <c r="B424" s="304">
        <v>643</v>
      </c>
      <c r="C424" s="305" t="s">
        <v>288</v>
      </c>
      <c r="D424" s="306" t="s">
        <v>724</v>
      </c>
      <c r="E424" s="305" t="s">
        <v>299</v>
      </c>
      <c r="F424" s="306" t="s">
        <v>35</v>
      </c>
      <c r="G424" s="306" t="s">
        <v>2399</v>
      </c>
      <c r="H424" s="306" t="s">
        <v>2419</v>
      </c>
      <c r="I424" s="306" t="s">
        <v>2420</v>
      </c>
      <c r="J424" s="304" t="s">
        <v>87</v>
      </c>
      <c r="K424" s="307">
        <v>43388</v>
      </c>
      <c r="L424" s="309">
        <v>45646</v>
      </c>
      <c r="M424" s="306" t="s">
        <v>205</v>
      </c>
      <c r="N424" s="304" t="s">
        <v>90</v>
      </c>
      <c r="O424" s="306" t="s">
        <v>5</v>
      </c>
      <c r="P424" s="304">
        <v>1</v>
      </c>
      <c r="Q424" s="304">
        <v>1</v>
      </c>
      <c r="R424" s="304">
        <v>1</v>
      </c>
      <c r="S424" s="308">
        <v>1</v>
      </c>
    </row>
    <row r="425" spans="1:19" ht="156">
      <c r="A425" s="303">
        <v>420</v>
      </c>
      <c r="B425" s="304">
        <v>644</v>
      </c>
      <c r="C425" s="305" t="s">
        <v>288</v>
      </c>
      <c r="D425" s="306" t="s">
        <v>724</v>
      </c>
      <c r="E425" s="305" t="s">
        <v>299</v>
      </c>
      <c r="F425" s="306" t="s">
        <v>35</v>
      </c>
      <c r="G425" s="306" t="s">
        <v>2399</v>
      </c>
      <c r="H425" s="306" t="s">
        <v>2421</v>
      </c>
      <c r="I425" s="306" t="s">
        <v>2422</v>
      </c>
      <c r="J425" s="304" t="s">
        <v>97</v>
      </c>
      <c r="K425" s="307">
        <v>43388</v>
      </c>
      <c r="L425" s="307">
        <v>43466</v>
      </c>
      <c r="M425" s="306" t="s">
        <v>221</v>
      </c>
      <c r="N425" s="304" t="s">
        <v>90</v>
      </c>
      <c r="O425" s="306" t="s">
        <v>5</v>
      </c>
      <c r="P425" s="304">
        <v>1</v>
      </c>
      <c r="Q425" s="304">
        <v>1</v>
      </c>
      <c r="R425" s="304">
        <v>1</v>
      </c>
      <c r="S425" s="308">
        <v>1</v>
      </c>
    </row>
    <row r="426" spans="1:19" ht="108">
      <c r="A426" s="303">
        <v>421</v>
      </c>
      <c r="B426" s="304">
        <v>645</v>
      </c>
      <c r="C426" s="305" t="s">
        <v>288</v>
      </c>
      <c r="D426" s="306" t="s">
        <v>724</v>
      </c>
      <c r="E426" s="305" t="s">
        <v>299</v>
      </c>
      <c r="F426" s="306" t="s">
        <v>35</v>
      </c>
      <c r="G426" s="306" t="s">
        <v>2399</v>
      </c>
      <c r="H426" s="306" t="s">
        <v>2423</v>
      </c>
      <c r="I426" s="306"/>
      <c r="J426" s="304" t="s">
        <v>97</v>
      </c>
      <c r="K426" s="307">
        <v>43388</v>
      </c>
      <c r="L426" s="309">
        <v>44926</v>
      </c>
      <c r="M426" s="306" t="s">
        <v>89</v>
      </c>
      <c r="N426" s="304" t="s">
        <v>90</v>
      </c>
      <c r="O426" s="306" t="s">
        <v>5</v>
      </c>
      <c r="P426" s="304">
        <v>1</v>
      </c>
      <c r="Q426" s="304">
        <v>1</v>
      </c>
      <c r="R426" s="304">
        <v>1</v>
      </c>
      <c r="S426" s="308">
        <v>1</v>
      </c>
    </row>
    <row r="427" spans="1:19" ht="108">
      <c r="A427" s="303">
        <v>422</v>
      </c>
      <c r="B427" s="304">
        <v>646</v>
      </c>
      <c r="C427" s="305" t="s">
        <v>288</v>
      </c>
      <c r="D427" s="306" t="s">
        <v>724</v>
      </c>
      <c r="E427" s="305" t="s">
        <v>299</v>
      </c>
      <c r="F427" s="306" t="s">
        <v>35</v>
      </c>
      <c r="G427" s="306" t="s">
        <v>2399</v>
      </c>
      <c r="H427" s="306" t="s">
        <v>2424</v>
      </c>
      <c r="I427" s="306"/>
      <c r="J427" s="304" t="s">
        <v>97</v>
      </c>
      <c r="K427" s="307">
        <v>43388</v>
      </c>
      <c r="L427" s="309">
        <v>45657</v>
      </c>
      <c r="M427" s="306" t="s">
        <v>89</v>
      </c>
      <c r="N427" s="304" t="s">
        <v>90</v>
      </c>
      <c r="O427" s="306" t="s">
        <v>5</v>
      </c>
      <c r="P427" s="304">
        <v>1</v>
      </c>
      <c r="Q427" s="304">
        <v>1</v>
      </c>
      <c r="R427" s="304">
        <v>1</v>
      </c>
      <c r="S427" s="308">
        <v>1</v>
      </c>
    </row>
    <row r="428" spans="1:19" ht="108">
      <c r="A428" s="303">
        <v>423</v>
      </c>
      <c r="B428" s="304">
        <v>647</v>
      </c>
      <c r="C428" s="305" t="s">
        <v>288</v>
      </c>
      <c r="D428" s="306" t="s">
        <v>724</v>
      </c>
      <c r="E428" s="305" t="s">
        <v>299</v>
      </c>
      <c r="F428" s="306" t="s">
        <v>35</v>
      </c>
      <c r="G428" s="306" t="s">
        <v>2399</v>
      </c>
      <c r="H428" s="306" t="s">
        <v>2425</v>
      </c>
      <c r="I428" s="306"/>
      <c r="J428" s="304" t="s">
        <v>97</v>
      </c>
      <c r="K428" s="307">
        <v>43388</v>
      </c>
      <c r="L428" s="309">
        <v>44196</v>
      </c>
      <c r="M428" s="306" t="s">
        <v>221</v>
      </c>
      <c r="N428" s="304" t="s">
        <v>90</v>
      </c>
      <c r="O428" s="306" t="s">
        <v>5</v>
      </c>
      <c r="P428" s="304">
        <v>1</v>
      </c>
      <c r="Q428" s="304">
        <v>1</v>
      </c>
      <c r="R428" s="304">
        <v>1</v>
      </c>
      <c r="S428" s="308">
        <v>1</v>
      </c>
    </row>
    <row r="429" spans="1:19" ht="240">
      <c r="A429" s="303">
        <v>424</v>
      </c>
      <c r="B429" s="304">
        <v>648</v>
      </c>
      <c r="C429" s="305" t="s">
        <v>288</v>
      </c>
      <c r="D429" s="306" t="s">
        <v>724</v>
      </c>
      <c r="E429" s="305" t="s">
        <v>299</v>
      </c>
      <c r="F429" s="306" t="s">
        <v>35</v>
      </c>
      <c r="G429" s="306" t="s">
        <v>2426</v>
      </c>
      <c r="H429" s="306" t="s">
        <v>355</v>
      </c>
      <c r="I429" s="306" t="s">
        <v>2427</v>
      </c>
      <c r="J429" s="304" t="s">
        <v>87</v>
      </c>
      <c r="K429" s="307">
        <v>43388</v>
      </c>
      <c r="L429" s="307">
        <v>43466</v>
      </c>
      <c r="M429" s="306" t="s">
        <v>221</v>
      </c>
      <c r="N429" s="304" t="s">
        <v>90</v>
      </c>
      <c r="O429" s="306" t="s">
        <v>63</v>
      </c>
      <c r="P429" s="304">
        <v>1</v>
      </c>
      <c r="Q429" s="304">
        <v>1</v>
      </c>
      <c r="R429" s="304">
        <v>1</v>
      </c>
      <c r="S429" s="308">
        <v>1</v>
      </c>
    </row>
    <row r="430" spans="1:19" ht="240">
      <c r="A430" s="303">
        <v>425</v>
      </c>
      <c r="B430" s="304">
        <v>649</v>
      </c>
      <c r="C430" s="305" t="s">
        <v>288</v>
      </c>
      <c r="D430" s="306" t="s">
        <v>724</v>
      </c>
      <c r="E430" s="305" t="s">
        <v>299</v>
      </c>
      <c r="F430" s="306" t="s">
        <v>35</v>
      </c>
      <c r="G430" s="306" t="s">
        <v>2426</v>
      </c>
      <c r="H430" s="306" t="s">
        <v>358</v>
      </c>
      <c r="I430" s="306" t="s">
        <v>2429</v>
      </c>
      <c r="J430" s="304" t="s">
        <v>87</v>
      </c>
      <c r="K430" s="307">
        <v>43466</v>
      </c>
      <c r="L430" s="307">
        <v>43678</v>
      </c>
      <c r="M430" s="306" t="s">
        <v>89</v>
      </c>
      <c r="N430" s="304" t="s">
        <v>90</v>
      </c>
      <c r="O430" s="306" t="s">
        <v>63</v>
      </c>
      <c r="P430" s="304">
        <v>1</v>
      </c>
      <c r="Q430" s="304">
        <v>1</v>
      </c>
      <c r="R430" s="304">
        <v>1</v>
      </c>
      <c r="S430" s="308">
        <v>1</v>
      </c>
    </row>
    <row r="431" spans="1:19" ht="240">
      <c r="A431" s="303">
        <v>426</v>
      </c>
      <c r="B431" s="304">
        <v>650</v>
      </c>
      <c r="C431" s="305" t="s">
        <v>288</v>
      </c>
      <c r="D431" s="306" t="s">
        <v>724</v>
      </c>
      <c r="E431" s="305" t="s">
        <v>299</v>
      </c>
      <c r="F431" s="306" t="s">
        <v>35</v>
      </c>
      <c r="G431" s="306" t="s">
        <v>2426</v>
      </c>
      <c r="H431" s="306" t="s">
        <v>363</v>
      </c>
      <c r="I431" s="306" t="s">
        <v>2430</v>
      </c>
      <c r="J431" s="304" t="s">
        <v>87</v>
      </c>
      <c r="K431" s="307">
        <v>43678</v>
      </c>
      <c r="L431" s="309">
        <v>43819</v>
      </c>
      <c r="M431" s="306" t="s">
        <v>221</v>
      </c>
      <c r="N431" s="304" t="s">
        <v>90</v>
      </c>
      <c r="O431" s="306" t="s">
        <v>63</v>
      </c>
      <c r="P431" s="304">
        <v>1</v>
      </c>
      <c r="Q431" s="304">
        <v>1</v>
      </c>
      <c r="R431" s="304">
        <v>1</v>
      </c>
      <c r="S431" s="308">
        <v>1</v>
      </c>
    </row>
    <row r="432" spans="1:19" ht="240">
      <c r="A432" s="303">
        <v>427</v>
      </c>
      <c r="B432" s="304">
        <v>651</v>
      </c>
      <c r="C432" s="305" t="s">
        <v>288</v>
      </c>
      <c r="D432" s="306" t="s">
        <v>724</v>
      </c>
      <c r="E432" s="305" t="s">
        <v>299</v>
      </c>
      <c r="F432" s="306" t="s">
        <v>35</v>
      </c>
      <c r="G432" s="306" t="s">
        <v>2426</v>
      </c>
      <c r="H432" s="306" t="s">
        <v>366</v>
      </c>
      <c r="I432" s="306" t="s">
        <v>2431</v>
      </c>
      <c r="J432" s="304" t="s">
        <v>87</v>
      </c>
      <c r="K432" s="307">
        <v>43388</v>
      </c>
      <c r="L432" s="307">
        <v>45474</v>
      </c>
      <c r="M432" s="306" t="s">
        <v>209</v>
      </c>
      <c r="N432" s="304" t="s">
        <v>96</v>
      </c>
      <c r="O432" s="306" t="s">
        <v>63</v>
      </c>
      <c r="P432" s="304">
        <v>1</v>
      </c>
      <c r="Q432" s="304">
        <v>1</v>
      </c>
      <c r="R432" s="304">
        <v>1</v>
      </c>
      <c r="S432" s="308">
        <v>1</v>
      </c>
    </row>
    <row r="433" spans="1:19" ht="240">
      <c r="A433" s="303">
        <v>428</v>
      </c>
      <c r="B433" s="304">
        <v>652</v>
      </c>
      <c r="C433" s="305" t="s">
        <v>288</v>
      </c>
      <c r="D433" s="306" t="s">
        <v>724</v>
      </c>
      <c r="E433" s="305" t="s">
        <v>299</v>
      </c>
      <c r="F433" s="306" t="s">
        <v>35</v>
      </c>
      <c r="G433" s="306" t="s">
        <v>2426</v>
      </c>
      <c r="H433" s="306" t="s">
        <v>369</v>
      </c>
      <c r="I433" s="306" t="s">
        <v>2432</v>
      </c>
      <c r="J433" s="304" t="s">
        <v>87</v>
      </c>
      <c r="K433" s="307">
        <v>43388</v>
      </c>
      <c r="L433" s="309">
        <v>43819</v>
      </c>
      <c r="M433" s="306" t="s">
        <v>89</v>
      </c>
      <c r="N433" s="304" t="s">
        <v>90</v>
      </c>
      <c r="O433" s="306" t="s">
        <v>63</v>
      </c>
      <c r="P433" s="304">
        <v>1</v>
      </c>
      <c r="Q433" s="304">
        <v>1</v>
      </c>
      <c r="R433" s="304">
        <v>1</v>
      </c>
      <c r="S433" s="308">
        <v>1</v>
      </c>
    </row>
    <row r="434" spans="1:19" ht="240">
      <c r="A434" s="303">
        <v>429</v>
      </c>
      <c r="B434" s="304">
        <v>653</v>
      </c>
      <c r="C434" s="305" t="s">
        <v>288</v>
      </c>
      <c r="D434" s="306" t="s">
        <v>724</v>
      </c>
      <c r="E434" s="305" t="s">
        <v>299</v>
      </c>
      <c r="F434" s="306" t="s">
        <v>35</v>
      </c>
      <c r="G434" s="306" t="s">
        <v>2426</v>
      </c>
      <c r="H434" s="306" t="s">
        <v>374</v>
      </c>
      <c r="I434" s="306" t="s">
        <v>2433</v>
      </c>
      <c r="J434" s="304" t="s">
        <v>87</v>
      </c>
      <c r="K434" s="307">
        <v>43388</v>
      </c>
      <c r="L434" s="309">
        <v>45646</v>
      </c>
      <c r="M434" s="306" t="s">
        <v>205</v>
      </c>
      <c r="N434" s="304" t="s">
        <v>96</v>
      </c>
      <c r="O434" s="306" t="s">
        <v>63</v>
      </c>
      <c r="P434" s="304">
        <v>1</v>
      </c>
      <c r="Q434" s="304">
        <v>1</v>
      </c>
      <c r="R434" s="304">
        <v>1</v>
      </c>
      <c r="S434" s="308">
        <v>1</v>
      </c>
    </row>
    <row r="435" spans="1:19" ht="240">
      <c r="A435" s="303">
        <v>430</v>
      </c>
      <c r="B435" s="304">
        <v>654</v>
      </c>
      <c r="C435" s="305" t="s">
        <v>288</v>
      </c>
      <c r="D435" s="306" t="s">
        <v>724</v>
      </c>
      <c r="E435" s="305" t="s">
        <v>299</v>
      </c>
      <c r="F435" s="306" t="s">
        <v>35</v>
      </c>
      <c r="G435" s="306" t="s">
        <v>2426</v>
      </c>
      <c r="H435" s="306" t="s">
        <v>2434</v>
      </c>
      <c r="I435" s="306" t="s">
        <v>2435</v>
      </c>
      <c r="J435" s="304" t="s">
        <v>97</v>
      </c>
      <c r="K435" s="304" t="s">
        <v>88</v>
      </c>
      <c r="L435" s="309">
        <v>43830</v>
      </c>
      <c r="M435" s="306" t="s">
        <v>89</v>
      </c>
      <c r="N435" s="304" t="s">
        <v>90</v>
      </c>
      <c r="O435" s="306" t="s">
        <v>63</v>
      </c>
      <c r="P435" s="304">
        <v>1</v>
      </c>
      <c r="Q435" s="304">
        <v>1</v>
      </c>
      <c r="R435" s="304">
        <v>1</v>
      </c>
      <c r="S435" s="308">
        <v>1</v>
      </c>
    </row>
    <row r="436" spans="1:19" ht="132">
      <c r="A436" s="303">
        <v>431</v>
      </c>
      <c r="B436" s="304">
        <v>655</v>
      </c>
      <c r="C436" s="305" t="s">
        <v>288</v>
      </c>
      <c r="D436" s="306" t="s">
        <v>724</v>
      </c>
      <c r="E436" s="305" t="s">
        <v>829</v>
      </c>
      <c r="F436" s="306" t="s">
        <v>1561</v>
      </c>
      <c r="G436" s="306" t="s">
        <v>2436</v>
      </c>
      <c r="H436" s="306" t="s">
        <v>380</v>
      </c>
      <c r="I436" s="306" t="s">
        <v>2437</v>
      </c>
      <c r="J436" s="304" t="s">
        <v>87</v>
      </c>
      <c r="K436" s="307">
        <v>43466</v>
      </c>
      <c r="L436" s="307">
        <v>43525</v>
      </c>
      <c r="M436" s="306" t="s">
        <v>221</v>
      </c>
      <c r="N436" s="304" t="s">
        <v>90</v>
      </c>
      <c r="O436" s="306" t="s">
        <v>51</v>
      </c>
      <c r="P436" s="304">
        <v>1</v>
      </c>
      <c r="Q436" s="304">
        <v>1</v>
      </c>
      <c r="R436" s="304">
        <v>1</v>
      </c>
      <c r="S436" s="308">
        <v>1</v>
      </c>
    </row>
    <row r="437" spans="1:19" ht="204">
      <c r="A437" s="303">
        <v>432</v>
      </c>
      <c r="B437" s="304">
        <v>656</v>
      </c>
      <c r="C437" s="305" t="s">
        <v>288</v>
      </c>
      <c r="D437" s="306" t="s">
        <v>724</v>
      </c>
      <c r="E437" s="305" t="s">
        <v>829</v>
      </c>
      <c r="F437" s="306" t="s">
        <v>1561</v>
      </c>
      <c r="G437" s="306" t="s">
        <v>2436</v>
      </c>
      <c r="H437" s="306" t="s">
        <v>384</v>
      </c>
      <c r="I437" s="306" t="s">
        <v>2438</v>
      </c>
      <c r="J437" s="304" t="s">
        <v>87</v>
      </c>
      <c r="K437" s="307">
        <v>43466</v>
      </c>
      <c r="L437" s="309">
        <v>45646</v>
      </c>
      <c r="M437" s="306" t="s">
        <v>205</v>
      </c>
      <c r="N437" s="304" t="s">
        <v>96</v>
      </c>
      <c r="O437" s="306" t="s">
        <v>51</v>
      </c>
      <c r="P437" s="304">
        <v>1</v>
      </c>
      <c r="Q437" s="304">
        <v>1</v>
      </c>
      <c r="R437" s="304">
        <v>1</v>
      </c>
      <c r="S437" s="308">
        <v>1</v>
      </c>
    </row>
    <row r="438" spans="1:19" ht="273">
      <c r="A438" s="303">
        <v>433</v>
      </c>
      <c r="B438" s="304">
        <v>657</v>
      </c>
      <c r="C438" s="305" t="s">
        <v>288</v>
      </c>
      <c r="D438" s="306" t="s">
        <v>724</v>
      </c>
      <c r="E438" s="305" t="s">
        <v>829</v>
      </c>
      <c r="F438" s="306" t="s">
        <v>1561</v>
      </c>
      <c r="G438" s="306" t="s">
        <v>2436</v>
      </c>
      <c r="H438" s="306" t="s">
        <v>390</v>
      </c>
      <c r="I438" s="306" t="s">
        <v>2439</v>
      </c>
      <c r="J438" s="304" t="s">
        <v>87</v>
      </c>
      <c r="K438" s="307">
        <v>43466</v>
      </c>
      <c r="L438" s="309">
        <v>45646</v>
      </c>
      <c r="M438" s="306" t="s">
        <v>205</v>
      </c>
      <c r="N438" s="304" t="s">
        <v>96</v>
      </c>
      <c r="O438" s="306" t="s">
        <v>51</v>
      </c>
      <c r="P438" s="304">
        <v>1</v>
      </c>
      <c r="Q438" s="304">
        <v>1</v>
      </c>
      <c r="R438" s="304">
        <v>1</v>
      </c>
      <c r="S438" s="308">
        <v>1</v>
      </c>
    </row>
    <row r="439" spans="1:19" ht="132">
      <c r="A439" s="303">
        <v>434</v>
      </c>
      <c r="B439" s="304">
        <v>658</v>
      </c>
      <c r="C439" s="305" t="s">
        <v>288</v>
      </c>
      <c r="D439" s="306" t="s">
        <v>724</v>
      </c>
      <c r="E439" s="305" t="s">
        <v>829</v>
      </c>
      <c r="F439" s="306" t="s">
        <v>1561</v>
      </c>
      <c r="G439" s="306" t="s">
        <v>2436</v>
      </c>
      <c r="H439" s="306" t="s">
        <v>394</v>
      </c>
      <c r="I439" s="306" t="s">
        <v>2440</v>
      </c>
      <c r="J439" s="304" t="s">
        <v>87</v>
      </c>
      <c r="K439" s="307">
        <v>43466</v>
      </c>
      <c r="L439" s="309">
        <v>43819</v>
      </c>
      <c r="M439" s="306" t="s">
        <v>205</v>
      </c>
      <c r="N439" s="304" t="s">
        <v>90</v>
      </c>
      <c r="O439" s="306" t="s">
        <v>51</v>
      </c>
      <c r="P439" s="304">
        <v>1</v>
      </c>
      <c r="Q439" s="304">
        <v>1</v>
      </c>
      <c r="R439" s="304">
        <v>1</v>
      </c>
      <c r="S439" s="308">
        <v>1</v>
      </c>
    </row>
    <row r="440" spans="1:19" ht="317">
      <c r="A440" s="303">
        <v>435</v>
      </c>
      <c r="B440" s="304">
        <v>659</v>
      </c>
      <c r="C440" s="305" t="s">
        <v>288</v>
      </c>
      <c r="D440" s="306" t="s">
        <v>724</v>
      </c>
      <c r="E440" s="305" t="s">
        <v>829</v>
      </c>
      <c r="F440" s="306" t="s">
        <v>1561</v>
      </c>
      <c r="G440" s="306" t="s">
        <v>2436</v>
      </c>
      <c r="H440" s="310" t="s">
        <v>396</v>
      </c>
      <c r="I440" s="306" t="s">
        <v>2441</v>
      </c>
      <c r="J440" s="304" t="s">
        <v>87</v>
      </c>
      <c r="K440" s="307">
        <v>43466</v>
      </c>
      <c r="L440" s="309">
        <v>45646</v>
      </c>
      <c r="M440" s="306" t="s">
        <v>205</v>
      </c>
      <c r="N440" s="304" t="s">
        <v>96</v>
      </c>
      <c r="O440" s="306" t="s">
        <v>51</v>
      </c>
      <c r="P440" s="304">
        <v>1</v>
      </c>
      <c r="Q440" s="304">
        <v>1</v>
      </c>
      <c r="R440" s="304">
        <v>1</v>
      </c>
      <c r="S440" s="308">
        <v>1</v>
      </c>
    </row>
    <row r="441" spans="1:19" ht="132">
      <c r="A441" s="303">
        <v>436</v>
      </c>
      <c r="B441" s="304">
        <v>660</v>
      </c>
      <c r="C441" s="305" t="s">
        <v>288</v>
      </c>
      <c r="D441" s="306" t="s">
        <v>724</v>
      </c>
      <c r="E441" s="305" t="s">
        <v>829</v>
      </c>
      <c r="F441" s="306" t="s">
        <v>1561</v>
      </c>
      <c r="G441" s="306" t="s">
        <v>2436</v>
      </c>
      <c r="H441" s="306" t="s">
        <v>401</v>
      </c>
      <c r="I441" s="306" t="s">
        <v>2442</v>
      </c>
      <c r="J441" s="304" t="s">
        <v>87</v>
      </c>
      <c r="K441" s="307">
        <v>43466</v>
      </c>
      <c r="L441" s="309">
        <v>45646</v>
      </c>
      <c r="M441" s="306" t="s">
        <v>205</v>
      </c>
      <c r="N441" s="304" t="s">
        <v>90</v>
      </c>
      <c r="O441" s="306" t="s">
        <v>51</v>
      </c>
      <c r="P441" s="304">
        <v>1</v>
      </c>
      <c r="Q441" s="304">
        <v>1</v>
      </c>
      <c r="R441" s="304">
        <v>1</v>
      </c>
      <c r="S441" s="308">
        <v>1</v>
      </c>
    </row>
    <row r="442" spans="1:19" ht="240">
      <c r="A442" s="303">
        <v>437</v>
      </c>
      <c r="B442" s="304">
        <v>661</v>
      </c>
      <c r="C442" s="305" t="s">
        <v>288</v>
      </c>
      <c r="D442" s="306" t="s">
        <v>724</v>
      </c>
      <c r="E442" s="305" t="s">
        <v>829</v>
      </c>
      <c r="F442" s="306" t="s">
        <v>1561</v>
      </c>
      <c r="G442" s="306" t="s">
        <v>2436</v>
      </c>
      <c r="H442" s="306" t="s">
        <v>404</v>
      </c>
      <c r="I442" s="306" t="s">
        <v>2443</v>
      </c>
      <c r="J442" s="304" t="s">
        <v>87</v>
      </c>
      <c r="K442" s="307">
        <v>43466</v>
      </c>
      <c r="L442" s="309">
        <v>45646</v>
      </c>
      <c r="M442" s="306" t="s">
        <v>205</v>
      </c>
      <c r="N442" s="304" t="s">
        <v>96</v>
      </c>
      <c r="O442" s="306" t="s">
        <v>51</v>
      </c>
      <c r="P442" s="304">
        <v>1</v>
      </c>
      <c r="Q442" s="304">
        <v>1</v>
      </c>
      <c r="R442" s="304">
        <v>1</v>
      </c>
      <c r="S442" s="308">
        <v>1</v>
      </c>
    </row>
    <row r="443" spans="1:19" ht="132">
      <c r="A443" s="303">
        <v>438</v>
      </c>
      <c r="B443" s="304">
        <v>662</v>
      </c>
      <c r="C443" s="305" t="s">
        <v>288</v>
      </c>
      <c r="D443" s="306" t="s">
        <v>724</v>
      </c>
      <c r="E443" s="305" t="s">
        <v>829</v>
      </c>
      <c r="F443" s="306" t="s">
        <v>1561</v>
      </c>
      <c r="G443" s="306" t="s">
        <v>2436</v>
      </c>
      <c r="H443" s="306" t="s">
        <v>407</v>
      </c>
      <c r="I443" s="306" t="s">
        <v>2444</v>
      </c>
      <c r="J443" s="304" t="s">
        <v>87</v>
      </c>
      <c r="K443" s="307">
        <v>43466</v>
      </c>
      <c r="L443" s="309">
        <v>45646</v>
      </c>
      <c r="M443" s="306" t="s">
        <v>205</v>
      </c>
      <c r="N443" s="304" t="s">
        <v>90</v>
      </c>
      <c r="O443" s="306" t="s">
        <v>51</v>
      </c>
      <c r="P443" s="304">
        <v>1</v>
      </c>
      <c r="Q443" s="304">
        <v>1</v>
      </c>
      <c r="R443" s="304">
        <v>1</v>
      </c>
      <c r="S443" s="308">
        <v>1</v>
      </c>
    </row>
    <row r="444" spans="1:19" ht="240">
      <c r="A444" s="303">
        <v>439</v>
      </c>
      <c r="B444" s="304">
        <v>663</v>
      </c>
      <c r="C444" s="305" t="s">
        <v>288</v>
      </c>
      <c r="D444" s="306" t="s">
        <v>724</v>
      </c>
      <c r="E444" s="305" t="s">
        <v>829</v>
      </c>
      <c r="F444" s="306" t="s">
        <v>1561</v>
      </c>
      <c r="G444" s="306" t="s">
        <v>2436</v>
      </c>
      <c r="H444" s="306" t="s">
        <v>410</v>
      </c>
      <c r="I444" s="306" t="s">
        <v>2445</v>
      </c>
      <c r="J444" s="304" t="s">
        <v>87</v>
      </c>
      <c r="K444" s="307">
        <v>43466</v>
      </c>
      <c r="L444" s="309">
        <v>45646</v>
      </c>
      <c r="M444" s="306" t="s">
        <v>205</v>
      </c>
      <c r="N444" s="304" t="s">
        <v>96</v>
      </c>
      <c r="O444" s="306" t="s">
        <v>51</v>
      </c>
      <c r="P444" s="304">
        <v>1</v>
      </c>
      <c r="Q444" s="304">
        <v>1</v>
      </c>
      <c r="R444" s="304">
        <v>1</v>
      </c>
      <c r="S444" s="308">
        <v>1</v>
      </c>
    </row>
    <row r="445" spans="1:19" ht="192">
      <c r="A445" s="303">
        <v>440</v>
      </c>
      <c r="B445" s="304">
        <v>664</v>
      </c>
      <c r="C445" s="305" t="s">
        <v>288</v>
      </c>
      <c r="D445" s="306" t="s">
        <v>724</v>
      </c>
      <c r="E445" s="305" t="s">
        <v>829</v>
      </c>
      <c r="F445" s="306" t="s">
        <v>1561</v>
      </c>
      <c r="G445" s="306" t="s">
        <v>2436</v>
      </c>
      <c r="H445" s="306" t="s">
        <v>414</v>
      </c>
      <c r="I445" s="306" t="s">
        <v>2446</v>
      </c>
      <c r="J445" s="304" t="s">
        <v>87</v>
      </c>
      <c r="K445" s="307">
        <v>43466</v>
      </c>
      <c r="L445" s="307">
        <v>43647</v>
      </c>
      <c r="M445" s="306" t="s">
        <v>221</v>
      </c>
      <c r="N445" s="304" t="s">
        <v>90</v>
      </c>
      <c r="O445" s="306" t="s">
        <v>51</v>
      </c>
      <c r="P445" s="304">
        <v>1</v>
      </c>
      <c r="Q445" s="304">
        <v>1</v>
      </c>
      <c r="R445" s="304">
        <v>1</v>
      </c>
      <c r="S445" s="308">
        <v>1</v>
      </c>
    </row>
    <row r="446" spans="1:19" ht="132">
      <c r="A446" s="303">
        <v>441</v>
      </c>
      <c r="B446" s="304">
        <v>665</v>
      </c>
      <c r="C446" s="305" t="s">
        <v>288</v>
      </c>
      <c r="D446" s="306" t="s">
        <v>724</v>
      </c>
      <c r="E446" s="305" t="s">
        <v>829</v>
      </c>
      <c r="F446" s="306" t="s">
        <v>1561</v>
      </c>
      <c r="G446" s="306" t="s">
        <v>2436</v>
      </c>
      <c r="H446" s="306" t="s">
        <v>418</v>
      </c>
      <c r="I446" s="306" t="s">
        <v>2447</v>
      </c>
      <c r="J446" s="304" t="s">
        <v>87</v>
      </c>
      <c r="K446" s="307">
        <v>43466</v>
      </c>
      <c r="L446" s="309">
        <v>45646</v>
      </c>
      <c r="M446" s="306" t="s">
        <v>205</v>
      </c>
      <c r="N446" s="304" t="s">
        <v>90</v>
      </c>
      <c r="O446" s="306" t="s">
        <v>51</v>
      </c>
      <c r="P446" s="304">
        <v>1</v>
      </c>
      <c r="Q446" s="304">
        <v>1</v>
      </c>
      <c r="R446" s="304">
        <v>1</v>
      </c>
      <c r="S446" s="308">
        <v>1</v>
      </c>
    </row>
    <row r="447" spans="1:19" ht="132">
      <c r="A447" s="303">
        <v>442</v>
      </c>
      <c r="B447" s="304">
        <v>666</v>
      </c>
      <c r="C447" s="305" t="s">
        <v>288</v>
      </c>
      <c r="D447" s="306" t="s">
        <v>724</v>
      </c>
      <c r="E447" s="305" t="s">
        <v>829</v>
      </c>
      <c r="F447" s="306" t="s">
        <v>1561</v>
      </c>
      <c r="G447" s="306" t="s">
        <v>2436</v>
      </c>
      <c r="H447" s="306" t="s">
        <v>423</v>
      </c>
      <c r="I447" s="306" t="s">
        <v>2448</v>
      </c>
      <c r="J447" s="304" t="s">
        <v>87</v>
      </c>
      <c r="K447" s="307">
        <v>43466</v>
      </c>
      <c r="L447" s="309">
        <v>43819</v>
      </c>
      <c r="M447" s="306" t="s">
        <v>98</v>
      </c>
      <c r="N447" s="304" t="s">
        <v>90</v>
      </c>
      <c r="O447" s="306" t="s">
        <v>51</v>
      </c>
      <c r="P447" s="304">
        <v>1</v>
      </c>
      <c r="Q447" s="304">
        <v>1</v>
      </c>
      <c r="R447" s="304">
        <v>1</v>
      </c>
      <c r="S447" s="308">
        <v>1</v>
      </c>
    </row>
    <row r="448" spans="1:19" ht="317">
      <c r="A448" s="303">
        <v>443</v>
      </c>
      <c r="B448" s="304">
        <v>667</v>
      </c>
      <c r="C448" s="305" t="s">
        <v>288</v>
      </c>
      <c r="D448" s="306" t="s">
        <v>724</v>
      </c>
      <c r="E448" s="305" t="s">
        <v>829</v>
      </c>
      <c r="F448" s="306" t="s">
        <v>1561</v>
      </c>
      <c r="G448" s="306" t="s">
        <v>2436</v>
      </c>
      <c r="H448" s="306" t="s">
        <v>426</v>
      </c>
      <c r="I448" s="306" t="s">
        <v>2449</v>
      </c>
      <c r="J448" s="304" t="s">
        <v>87</v>
      </c>
      <c r="K448" s="307">
        <v>43466</v>
      </c>
      <c r="L448" s="309">
        <v>45646</v>
      </c>
      <c r="M448" s="306" t="s">
        <v>205</v>
      </c>
      <c r="N448" s="304" t="s">
        <v>96</v>
      </c>
      <c r="O448" s="306" t="s">
        <v>51</v>
      </c>
      <c r="P448" s="304">
        <v>1</v>
      </c>
      <c r="Q448" s="304">
        <v>1</v>
      </c>
      <c r="R448" s="304">
        <v>1</v>
      </c>
      <c r="S448" s="308">
        <v>1</v>
      </c>
    </row>
    <row r="449" spans="1:19" ht="328">
      <c r="A449" s="303">
        <v>444</v>
      </c>
      <c r="B449" s="304">
        <v>668</v>
      </c>
      <c r="C449" s="305" t="s">
        <v>288</v>
      </c>
      <c r="D449" s="306" t="s">
        <v>724</v>
      </c>
      <c r="E449" s="305" t="s">
        <v>829</v>
      </c>
      <c r="F449" s="306" t="s">
        <v>1561</v>
      </c>
      <c r="G449" s="306" t="s">
        <v>2436</v>
      </c>
      <c r="H449" s="306" t="s">
        <v>429</v>
      </c>
      <c r="I449" s="306" t="s">
        <v>2450</v>
      </c>
      <c r="J449" s="304" t="s">
        <v>87</v>
      </c>
      <c r="K449" s="307">
        <v>43466</v>
      </c>
      <c r="L449" s="307">
        <v>43647</v>
      </c>
      <c r="M449" s="306" t="s">
        <v>221</v>
      </c>
      <c r="N449" s="304" t="s">
        <v>90</v>
      </c>
      <c r="O449" s="306" t="s">
        <v>51</v>
      </c>
      <c r="P449" s="304">
        <v>1</v>
      </c>
      <c r="Q449" s="304">
        <v>1</v>
      </c>
      <c r="R449" s="304">
        <v>1</v>
      </c>
      <c r="S449" s="308">
        <v>1</v>
      </c>
    </row>
    <row r="450" spans="1:19" ht="132">
      <c r="A450" s="303">
        <v>445</v>
      </c>
      <c r="B450" s="304">
        <v>669</v>
      </c>
      <c r="C450" s="305" t="s">
        <v>288</v>
      </c>
      <c r="D450" s="306" t="s">
        <v>724</v>
      </c>
      <c r="E450" s="305" t="s">
        <v>829</v>
      </c>
      <c r="F450" s="306" t="s">
        <v>1561</v>
      </c>
      <c r="G450" s="306" t="s">
        <v>2436</v>
      </c>
      <c r="H450" s="306" t="s">
        <v>432</v>
      </c>
      <c r="I450" s="306" t="s">
        <v>2451</v>
      </c>
      <c r="J450" s="304" t="s">
        <v>87</v>
      </c>
      <c r="K450" s="307">
        <v>43466</v>
      </c>
      <c r="L450" s="309">
        <v>45646</v>
      </c>
      <c r="M450" s="306" t="s">
        <v>205</v>
      </c>
      <c r="N450" s="304" t="s">
        <v>96</v>
      </c>
      <c r="O450" s="306" t="s">
        <v>51</v>
      </c>
      <c r="P450" s="304">
        <v>1</v>
      </c>
      <c r="Q450" s="304">
        <v>1</v>
      </c>
      <c r="R450" s="304">
        <v>1</v>
      </c>
      <c r="S450" s="308">
        <v>1</v>
      </c>
    </row>
    <row r="451" spans="1:19" ht="180">
      <c r="A451" s="303">
        <v>446</v>
      </c>
      <c r="B451" s="304">
        <v>670</v>
      </c>
      <c r="C451" s="305" t="s">
        <v>288</v>
      </c>
      <c r="D451" s="306" t="s">
        <v>724</v>
      </c>
      <c r="E451" s="305" t="s">
        <v>829</v>
      </c>
      <c r="F451" s="306" t="s">
        <v>1561</v>
      </c>
      <c r="G451" s="306" t="s">
        <v>2436</v>
      </c>
      <c r="H451" s="306" t="s">
        <v>435</v>
      </c>
      <c r="I451" s="306" t="s">
        <v>2452</v>
      </c>
      <c r="J451" s="304" t="s">
        <v>87</v>
      </c>
      <c r="K451" s="307">
        <v>43466</v>
      </c>
      <c r="L451" s="309">
        <v>45646</v>
      </c>
      <c r="M451" s="306" t="s">
        <v>205</v>
      </c>
      <c r="N451" s="304" t="s">
        <v>90</v>
      </c>
      <c r="O451" s="306" t="s">
        <v>51</v>
      </c>
      <c r="P451" s="304">
        <v>1</v>
      </c>
      <c r="Q451" s="304">
        <v>1</v>
      </c>
      <c r="R451" s="304">
        <v>1</v>
      </c>
      <c r="S451" s="308">
        <v>1</v>
      </c>
    </row>
    <row r="452" spans="1:19" ht="192">
      <c r="A452" s="303">
        <v>447</v>
      </c>
      <c r="B452" s="304">
        <v>671</v>
      </c>
      <c r="C452" s="305" t="s">
        <v>288</v>
      </c>
      <c r="D452" s="306" t="s">
        <v>724</v>
      </c>
      <c r="E452" s="305" t="s">
        <v>829</v>
      </c>
      <c r="F452" s="306" t="s">
        <v>1561</v>
      </c>
      <c r="G452" s="306" t="s">
        <v>2436</v>
      </c>
      <c r="H452" s="306" t="s">
        <v>440</v>
      </c>
      <c r="I452" s="306" t="s">
        <v>2453</v>
      </c>
      <c r="J452" s="304" t="s">
        <v>87</v>
      </c>
      <c r="K452" s="307">
        <v>43466</v>
      </c>
      <c r="L452" s="309">
        <v>43819</v>
      </c>
      <c r="M452" s="306" t="s">
        <v>205</v>
      </c>
      <c r="N452" s="304" t="s">
        <v>90</v>
      </c>
      <c r="O452" s="306" t="s">
        <v>51</v>
      </c>
      <c r="P452" s="304">
        <v>1</v>
      </c>
      <c r="Q452" s="304">
        <v>1</v>
      </c>
      <c r="R452" s="304">
        <v>1</v>
      </c>
      <c r="S452" s="308">
        <v>1</v>
      </c>
    </row>
    <row r="453" spans="1:19" ht="132">
      <c r="A453" s="303">
        <v>448</v>
      </c>
      <c r="B453" s="304">
        <v>672</v>
      </c>
      <c r="C453" s="305" t="s">
        <v>288</v>
      </c>
      <c r="D453" s="306" t="s">
        <v>724</v>
      </c>
      <c r="E453" s="305" t="s">
        <v>829</v>
      </c>
      <c r="F453" s="306" t="s">
        <v>1561</v>
      </c>
      <c r="G453" s="306" t="s">
        <v>2436</v>
      </c>
      <c r="H453" s="306" t="s">
        <v>443</v>
      </c>
      <c r="I453" s="306" t="s">
        <v>2454</v>
      </c>
      <c r="J453" s="304" t="s">
        <v>87</v>
      </c>
      <c r="K453" s="307">
        <v>43466</v>
      </c>
      <c r="L453" s="309">
        <v>45646</v>
      </c>
      <c r="M453" s="306" t="s">
        <v>205</v>
      </c>
      <c r="N453" s="304" t="s">
        <v>90</v>
      </c>
      <c r="O453" s="306" t="s">
        <v>51</v>
      </c>
      <c r="P453" s="304">
        <v>1</v>
      </c>
      <c r="Q453" s="304">
        <v>1</v>
      </c>
      <c r="R453" s="304">
        <v>1</v>
      </c>
      <c r="S453" s="308">
        <v>1</v>
      </c>
    </row>
    <row r="454" spans="1:19" ht="132">
      <c r="A454" s="303">
        <v>449</v>
      </c>
      <c r="B454" s="304">
        <v>673</v>
      </c>
      <c r="C454" s="305" t="s">
        <v>288</v>
      </c>
      <c r="D454" s="306" t="s">
        <v>724</v>
      </c>
      <c r="E454" s="305" t="s">
        <v>829</v>
      </c>
      <c r="F454" s="306" t="s">
        <v>1561</v>
      </c>
      <c r="G454" s="306" t="s">
        <v>2436</v>
      </c>
      <c r="H454" s="306" t="s">
        <v>446</v>
      </c>
      <c r="I454" s="306" t="s">
        <v>447</v>
      </c>
      <c r="J454" s="304" t="s">
        <v>87</v>
      </c>
      <c r="K454" s="307">
        <v>43466</v>
      </c>
      <c r="L454" s="309">
        <v>45646</v>
      </c>
      <c r="M454" s="306" t="s">
        <v>205</v>
      </c>
      <c r="N454" s="304" t="s">
        <v>90</v>
      </c>
      <c r="O454" s="306" t="s">
        <v>51</v>
      </c>
      <c r="P454" s="304">
        <v>1</v>
      </c>
      <c r="Q454" s="304">
        <v>1</v>
      </c>
      <c r="R454" s="304">
        <v>1</v>
      </c>
      <c r="S454" s="308">
        <v>1</v>
      </c>
    </row>
    <row r="455" spans="1:19" ht="132">
      <c r="A455" s="303">
        <v>450</v>
      </c>
      <c r="B455" s="304">
        <v>674</v>
      </c>
      <c r="C455" s="305" t="s">
        <v>288</v>
      </c>
      <c r="D455" s="306" t="s">
        <v>724</v>
      </c>
      <c r="E455" s="305" t="s">
        <v>829</v>
      </c>
      <c r="F455" s="306" t="s">
        <v>1561</v>
      </c>
      <c r="G455" s="306" t="s">
        <v>2436</v>
      </c>
      <c r="H455" s="306" t="s">
        <v>449</v>
      </c>
      <c r="I455" s="306" t="s">
        <v>450</v>
      </c>
      <c r="J455" s="304" t="s">
        <v>87</v>
      </c>
      <c r="K455" s="307">
        <v>43466</v>
      </c>
      <c r="L455" s="309">
        <v>45646</v>
      </c>
      <c r="M455" s="306" t="s">
        <v>205</v>
      </c>
      <c r="N455" s="304" t="s">
        <v>90</v>
      </c>
      <c r="O455" s="306" t="s">
        <v>51</v>
      </c>
      <c r="P455" s="304">
        <v>1</v>
      </c>
      <c r="Q455" s="304">
        <v>1</v>
      </c>
      <c r="R455" s="304">
        <v>1</v>
      </c>
      <c r="S455" s="308">
        <v>1</v>
      </c>
    </row>
    <row r="456" spans="1:19" ht="120">
      <c r="A456" s="303">
        <v>451</v>
      </c>
      <c r="B456" s="304">
        <v>675</v>
      </c>
      <c r="C456" s="305" t="s">
        <v>288</v>
      </c>
      <c r="D456" s="306" t="s">
        <v>724</v>
      </c>
      <c r="E456" s="305" t="s">
        <v>829</v>
      </c>
      <c r="F456" s="306" t="s">
        <v>1561</v>
      </c>
      <c r="G456" s="306" t="s">
        <v>2455</v>
      </c>
      <c r="H456" s="306" t="s">
        <v>454</v>
      </c>
      <c r="I456" s="306" t="s">
        <v>2456</v>
      </c>
      <c r="J456" s="304" t="s">
        <v>87</v>
      </c>
      <c r="K456" s="307">
        <v>43466</v>
      </c>
      <c r="L456" s="309">
        <v>45646</v>
      </c>
      <c r="M456" s="306" t="s">
        <v>89</v>
      </c>
      <c r="N456" s="304" t="s">
        <v>90</v>
      </c>
      <c r="O456" s="306" t="s">
        <v>51</v>
      </c>
      <c r="P456" s="304">
        <v>1</v>
      </c>
      <c r="Q456" s="304">
        <v>1</v>
      </c>
      <c r="R456" s="304">
        <v>1</v>
      </c>
      <c r="S456" s="308">
        <v>1</v>
      </c>
    </row>
    <row r="457" spans="1:19" ht="96">
      <c r="A457" s="303">
        <v>452</v>
      </c>
      <c r="B457" s="304">
        <v>676</v>
      </c>
      <c r="C457" s="305" t="s">
        <v>288</v>
      </c>
      <c r="D457" s="306" t="s">
        <v>724</v>
      </c>
      <c r="E457" s="305" t="s">
        <v>829</v>
      </c>
      <c r="F457" s="306" t="s">
        <v>1561</v>
      </c>
      <c r="G457" s="306" t="s">
        <v>2455</v>
      </c>
      <c r="H457" s="306" t="s">
        <v>456</v>
      </c>
      <c r="I457" s="306" t="s">
        <v>2457</v>
      </c>
      <c r="J457" s="304" t="s">
        <v>87</v>
      </c>
      <c r="K457" s="307">
        <v>43466</v>
      </c>
      <c r="L457" s="309">
        <v>45646</v>
      </c>
      <c r="M457" s="306" t="s">
        <v>89</v>
      </c>
      <c r="N457" s="304" t="s">
        <v>90</v>
      </c>
      <c r="O457" s="306" t="s">
        <v>51</v>
      </c>
      <c r="P457" s="304">
        <v>1</v>
      </c>
      <c r="Q457" s="304">
        <v>1</v>
      </c>
      <c r="R457" s="304">
        <v>1</v>
      </c>
      <c r="S457" s="308">
        <v>1</v>
      </c>
    </row>
    <row r="458" spans="1:19" ht="96">
      <c r="A458" s="303">
        <v>453</v>
      </c>
      <c r="B458" s="304">
        <v>677</v>
      </c>
      <c r="C458" s="305" t="s">
        <v>288</v>
      </c>
      <c r="D458" s="306" t="s">
        <v>724</v>
      </c>
      <c r="E458" s="305" t="s">
        <v>829</v>
      </c>
      <c r="F458" s="306" t="s">
        <v>1561</v>
      </c>
      <c r="G458" s="306" t="s">
        <v>2455</v>
      </c>
      <c r="H458" s="306" t="s">
        <v>458</v>
      </c>
      <c r="I458" s="306" t="s">
        <v>459</v>
      </c>
      <c r="J458" s="304" t="s">
        <v>87</v>
      </c>
      <c r="K458" s="307">
        <v>43466</v>
      </c>
      <c r="L458" s="309">
        <v>45646</v>
      </c>
      <c r="M458" s="306" t="s">
        <v>221</v>
      </c>
      <c r="N458" s="304" t="s">
        <v>90</v>
      </c>
      <c r="O458" s="306" t="s">
        <v>51</v>
      </c>
      <c r="P458" s="304">
        <v>1</v>
      </c>
      <c r="Q458" s="304">
        <v>1</v>
      </c>
      <c r="R458" s="304">
        <v>1</v>
      </c>
      <c r="S458" s="308">
        <v>1</v>
      </c>
    </row>
    <row r="459" spans="1:19" ht="96">
      <c r="A459" s="303">
        <v>454</v>
      </c>
      <c r="B459" s="304">
        <v>678</v>
      </c>
      <c r="C459" s="305" t="s">
        <v>288</v>
      </c>
      <c r="D459" s="306" t="s">
        <v>724</v>
      </c>
      <c r="E459" s="305" t="s">
        <v>829</v>
      </c>
      <c r="F459" s="306" t="s">
        <v>1561</v>
      </c>
      <c r="G459" s="306" t="s">
        <v>2455</v>
      </c>
      <c r="H459" s="306" t="s">
        <v>462</v>
      </c>
      <c r="I459" s="306" t="s">
        <v>463</v>
      </c>
      <c r="J459" s="304" t="s">
        <v>87</v>
      </c>
      <c r="K459" s="307">
        <v>43466</v>
      </c>
      <c r="L459" s="309">
        <v>44185</v>
      </c>
      <c r="M459" s="306" t="s">
        <v>214</v>
      </c>
      <c r="N459" s="304" t="s">
        <v>90</v>
      </c>
      <c r="O459" s="306" t="s">
        <v>51</v>
      </c>
      <c r="P459" s="304">
        <v>1</v>
      </c>
      <c r="Q459" s="304">
        <v>1</v>
      </c>
      <c r="R459" s="304">
        <v>1</v>
      </c>
      <c r="S459" s="308">
        <v>1</v>
      </c>
    </row>
    <row r="460" spans="1:19" ht="96">
      <c r="A460" s="303">
        <v>455</v>
      </c>
      <c r="B460" s="304">
        <v>679</v>
      </c>
      <c r="C460" s="305" t="s">
        <v>288</v>
      </c>
      <c r="D460" s="306" t="s">
        <v>724</v>
      </c>
      <c r="E460" s="305" t="s">
        <v>829</v>
      </c>
      <c r="F460" s="306" t="s">
        <v>1561</v>
      </c>
      <c r="G460" s="306" t="s">
        <v>2458</v>
      </c>
      <c r="H460" s="306" t="s">
        <v>464</v>
      </c>
      <c r="I460" s="306" t="s">
        <v>2459</v>
      </c>
      <c r="J460" s="304" t="s">
        <v>87</v>
      </c>
      <c r="K460" s="307">
        <v>43466</v>
      </c>
      <c r="L460" s="309">
        <v>43819</v>
      </c>
      <c r="M460" s="306" t="s">
        <v>221</v>
      </c>
      <c r="N460" s="304" t="s">
        <v>90</v>
      </c>
      <c r="O460" s="306" t="s">
        <v>51</v>
      </c>
      <c r="P460" s="304">
        <v>1</v>
      </c>
      <c r="Q460" s="304">
        <v>1</v>
      </c>
      <c r="R460" s="304">
        <v>1</v>
      </c>
      <c r="S460" s="308">
        <v>1</v>
      </c>
    </row>
    <row r="461" spans="1:19" ht="96">
      <c r="A461" s="303">
        <v>456</v>
      </c>
      <c r="B461" s="304">
        <v>680</v>
      </c>
      <c r="C461" s="305" t="s">
        <v>288</v>
      </c>
      <c r="D461" s="306" t="s">
        <v>724</v>
      </c>
      <c r="E461" s="305" t="s">
        <v>829</v>
      </c>
      <c r="F461" s="306" t="s">
        <v>1561</v>
      </c>
      <c r="G461" s="306" t="s">
        <v>2458</v>
      </c>
      <c r="H461" s="306" t="s">
        <v>469</v>
      </c>
      <c r="I461" s="306" t="s">
        <v>2460</v>
      </c>
      <c r="J461" s="304" t="s">
        <v>87</v>
      </c>
      <c r="K461" s="307">
        <v>43466</v>
      </c>
      <c r="L461" s="309">
        <v>45646</v>
      </c>
      <c r="M461" s="306" t="s">
        <v>205</v>
      </c>
      <c r="N461" s="304" t="s">
        <v>96</v>
      </c>
      <c r="O461" s="306" t="s">
        <v>51</v>
      </c>
      <c r="P461" s="304">
        <v>1</v>
      </c>
      <c r="Q461" s="304">
        <v>1</v>
      </c>
      <c r="R461" s="304">
        <v>1</v>
      </c>
      <c r="S461" s="308">
        <v>1</v>
      </c>
    </row>
    <row r="462" spans="1:19" ht="120">
      <c r="A462" s="303">
        <v>457</v>
      </c>
      <c r="B462" s="304">
        <v>681</v>
      </c>
      <c r="C462" s="305" t="s">
        <v>288</v>
      </c>
      <c r="D462" s="306" t="s">
        <v>724</v>
      </c>
      <c r="E462" s="305" t="s">
        <v>829</v>
      </c>
      <c r="F462" s="306" t="s">
        <v>1561</v>
      </c>
      <c r="G462" s="306" t="s">
        <v>2458</v>
      </c>
      <c r="H462" s="306" t="s">
        <v>487</v>
      </c>
      <c r="I462" s="306" t="s">
        <v>2461</v>
      </c>
      <c r="J462" s="304" t="s">
        <v>97</v>
      </c>
      <c r="K462" s="307">
        <v>43466</v>
      </c>
      <c r="L462" s="307">
        <v>45107</v>
      </c>
      <c r="M462" s="306" t="s">
        <v>205</v>
      </c>
      <c r="N462" s="304" t="s">
        <v>90</v>
      </c>
      <c r="O462" s="306" t="s">
        <v>51</v>
      </c>
      <c r="P462" s="304">
        <v>1</v>
      </c>
      <c r="Q462" s="304">
        <v>1</v>
      </c>
      <c r="R462" s="304">
        <v>1</v>
      </c>
      <c r="S462" s="308">
        <v>1</v>
      </c>
    </row>
    <row r="463" spans="1:19" ht="132">
      <c r="A463" s="303">
        <v>458</v>
      </c>
      <c r="B463" s="304">
        <v>682</v>
      </c>
      <c r="C463" s="305" t="s">
        <v>288</v>
      </c>
      <c r="D463" s="306" t="s">
        <v>724</v>
      </c>
      <c r="E463" s="305" t="s">
        <v>829</v>
      </c>
      <c r="F463" s="306" t="s">
        <v>1561</v>
      </c>
      <c r="G463" s="306" t="s">
        <v>2462</v>
      </c>
      <c r="H463" s="306" t="s">
        <v>472</v>
      </c>
      <c r="I463" s="306" t="s">
        <v>2463</v>
      </c>
      <c r="J463" s="304" t="s">
        <v>87</v>
      </c>
      <c r="K463" s="307">
        <v>43466</v>
      </c>
      <c r="L463" s="309">
        <v>43819</v>
      </c>
      <c r="M463" s="306" t="s">
        <v>344</v>
      </c>
      <c r="N463" s="304" t="s">
        <v>90</v>
      </c>
      <c r="O463" s="306" t="s">
        <v>51</v>
      </c>
      <c r="P463" s="304">
        <v>1</v>
      </c>
      <c r="Q463" s="304">
        <v>1</v>
      </c>
      <c r="R463" s="304">
        <v>1</v>
      </c>
      <c r="S463" s="308">
        <v>1</v>
      </c>
    </row>
    <row r="464" spans="1:19" ht="192">
      <c r="A464" s="303">
        <v>459</v>
      </c>
      <c r="B464" s="304">
        <v>683</v>
      </c>
      <c r="C464" s="305" t="s">
        <v>288</v>
      </c>
      <c r="D464" s="306" t="s">
        <v>724</v>
      </c>
      <c r="E464" s="305" t="s">
        <v>829</v>
      </c>
      <c r="F464" s="306" t="s">
        <v>1561</v>
      </c>
      <c r="G464" s="306" t="s">
        <v>2462</v>
      </c>
      <c r="H464" s="306" t="s">
        <v>475</v>
      </c>
      <c r="I464" s="306" t="s">
        <v>2464</v>
      </c>
      <c r="J464" s="304" t="s">
        <v>87</v>
      </c>
      <c r="K464" s="307">
        <v>43466</v>
      </c>
      <c r="L464" s="309">
        <v>45646</v>
      </c>
      <c r="M464" s="306" t="s">
        <v>205</v>
      </c>
      <c r="N464" s="304" t="s">
        <v>96</v>
      </c>
      <c r="O464" s="306" t="s">
        <v>51</v>
      </c>
      <c r="P464" s="304">
        <v>1</v>
      </c>
      <c r="Q464" s="304">
        <v>1</v>
      </c>
      <c r="R464" s="304">
        <v>1</v>
      </c>
      <c r="S464" s="308">
        <v>1</v>
      </c>
    </row>
    <row r="465" spans="1:19" ht="96">
      <c r="A465" s="303">
        <v>460</v>
      </c>
      <c r="B465" s="304">
        <v>684</v>
      </c>
      <c r="C465" s="305" t="s">
        <v>288</v>
      </c>
      <c r="D465" s="306" t="s">
        <v>724</v>
      </c>
      <c r="E465" s="305" t="s">
        <v>829</v>
      </c>
      <c r="F465" s="306" t="s">
        <v>1561</v>
      </c>
      <c r="G465" s="306" t="s">
        <v>2462</v>
      </c>
      <c r="H465" s="306" t="s">
        <v>492</v>
      </c>
      <c r="I465" s="306" t="s">
        <v>2465</v>
      </c>
      <c r="J465" s="304" t="s">
        <v>97</v>
      </c>
      <c r="K465" s="307">
        <v>43466</v>
      </c>
      <c r="L465" s="307">
        <v>44743</v>
      </c>
      <c r="M465" s="306" t="s">
        <v>221</v>
      </c>
      <c r="N465" s="304" t="s">
        <v>90</v>
      </c>
      <c r="O465" s="306" t="s">
        <v>51</v>
      </c>
      <c r="P465" s="304">
        <v>1</v>
      </c>
      <c r="Q465" s="304">
        <v>1</v>
      </c>
      <c r="R465" s="304">
        <v>1</v>
      </c>
      <c r="S465" s="308">
        <v>1</v>
      </c>
    </row>
    <row r="466" spans="1:19" ht="96">
      <c r="A466" s="303">
        <v>461</v>
      </c>
      <c r="B466" s="304">
        <v>685</v>
      </c>
      <c r="C466" s="305" t="s">
        <v>288</v>
      </c>
      <c r="D466" s="306" t="s">
        <v>724</v>
      </c>
      <c r="E466" s="305" t="s">
        <v>829</v>
      </c>
      <c r="F466" s="306" t="s">
        <v>1561</v>
      </c>
      <c r="G466" s="306" t="s">
        <v>2462</v>
      </c>
      <c r="H466" s="306" t="s">
        <v>479</v>
      </c>
      <c r="I466" s="306" t="s">
        <v>480</v>
      </c>
      <c r="J466" s="304" t="s">
        <v>87</v>
      </c>
      <c r="K466" s="307">
        <v>43466</v>
      </c>
      <c r="L466" s="309">
        <v>45646</v>
      </c>
      <c r="M466" s="306" t="s">
        <v>205</v>
      </c>
      <c r="N466" s="304" t="s">
        <v>96</v>
      </c>
      <c r="O466" s="306" t="s">
        <v>51</v>
      </c>
      <c r="P466" s="304">
        <v>1</v>
      </c>
      <c r="Q466" s="304">
        <v>1</v>
      </c>
      <c r="R466" s="304">
        <v>1</v>
      </c>
      <c r="S466" s="308">
        <v>1</v>
      </c>
    </row>
    <row r="467" spans="1:19" ht="96">
      <c r="A467" s="303">
        <v>462</v>
      </c>
      <c r="B467" s="304">
        <v>686</v>
      </c>
      <c r="C467" s="305" t="s">
        <v>288</v>
      </c>
      <c r="D467" s="306" t="s">
        <v>724</v>
      </c>
      <c r="E467" s="305" t="s">
        <v>829</v>
      </c>
      <c r="F467" s="306" t="s">
        <v>1561</v>
      </c>
      <c r="G467" s="306" t="s">
        <v>2462</v>
      </c>
      <c r="H467" s="306" t="s">
        <v>484</v>
      </c>
      <c r="I467" s="306" t="s">
        <v>2466</v>
      </c>
      <c r="J467" s="304" t="s">
        <v>87</v>
      </c>
      <c r="K467" s="307">
        <v>43466</v>
      </c>
      <c r="L467" s="309">
        <v>43819</v>
      </c>
      <c r="M467" s="306" t="s">
        <v>221</v>
      </c>
      <c r="N467" s="304" t="s">
        <v>90</v>
      </c>
      <c r="O467" s="306" t="s">
        <v>51</v>
      </c>
      <c r="P467" s="304">
        <v>1</v>
      </c>
      <c r="Q467" s="304">
        <v>1</v>
      </c>
      <c r="R467" s="304">
        <v>1</v>
      </c>
      <c r="S467" s="308">
        <v>1</v>
      </c>
    </row>
    <row r="468" spans="1:19" ht="192">
      <c r="A468" s="303">
        <v>463</v>
      </c>
      <c r="B468" s="304">
        <v>687</v>
      </c>
      <c r="C468" s="305" t="s">
        <v>288</v>
      </c>
      <c r="D468" s="306" t="s">
        <v>724</v>
      </c>
      <c r="E468" s="305" t="s">
        <v>831</v>
      </c>
      <c r="F468" s="306" t="s">
        <v>42</v>
      </c>
      <c r="G468" s="306" t="s">
        <v>2467</v>
      </c>
      <c r="H468" s="306" t="s">
        <v>615</v>
      </c>
      <c r="I468" s="306" t="s">
        <v>2468</v>
      </c>
      <c r="J468" s="304" t="s">
        <v>87</v>
      </c>
      <c r="K468" s="307">
        <v>43388</v>
      </c>
      <c r="L468" s="309">
        <v>43797</v>
      </c>
      <c r="M468" s="306" t="s">
        <v>209</v>
      </c>
      <c r="N468" s="304" t="s">
        <v>90</v>
      </c>
      <c r="O468" s="306" t="s">
        <v>51</v>
      </c>
      <c r="P468" s="304">
        <v>1</v>
      </c>
      <c r="Q468" s="304">
        <v>1</v>
      </c>
      <c r="R468" s="304">
        <v>1</v>
      </c>
      <c r="S468" s="308">
        <v>1</v>
      </c>
    </row>
    <row r="469" spans="1:19" ht="144">
      <c r="A469" s="303">
        <v>464</v>
      </c>
      <c r="B469" s="304">
        <v>688</v>
      </c>
      <c r="C469" s="305" t="s">
        <v>288</v>
      </c>
      <c r="D469" s="306" t="s">
        <v>724</v>
      </c>
      <c r="E469" s="305" t="s">
        <v>831</v>
      </c>
      <c r="F469" s="306" t="s">
        <v>42</v>
      </c>
      <c r="G469" s="306" t="s">
        <v>2467</v>
      </c>
      <c r="H469" s="306" t="s">
        <v>631</v>
      </c>
      <c r="I469" s="306" t="s">
        <v>2469</v>
      </c>
      <c r="J469" s="304" t="s">
        <v>87</v>
      </c>
      <c r="K469" s="307">
        <v>43388</v>
      </c>
      <c r="L469" s="309">
        <v>43797</v>
      </c>
      <c r="M469" s="306" t="s">
        <v>209</v>
      </c>
      <c r="N469" s="304" t="s">
        <v>90</v>
      </c>
      <c r="O469" s="306" t="s">
        <v>51</v>
      </c>
      <c r="P469" s="304">
        <v>1</v>
      </c>
      <c r="Q469" s="304">
        <v>1</v>
      </c>
      <c r="R469" s="304">
        <v>1</v>
      </c>
      <c r="S469" s="308">
        <v>1</v>
      </c>
    </row>
    <row r="470" spans="1:19" ht="284">
      <c r="A470" s="303">
        <v>465</v>
      </c>
      <c r="B470" s="304">
        <v>689</v>
      </c>
      <c r="C470" s="305" t="s">
        <v>288</v>
      </c>
      <c r="D470" s="306" t="s">
        <v>724</v>
      </c>
      <c r="E470" s="305" t="s">
        <v>831</v>
      </c>
      <c r="F470" s="306" t="s">
        <v>42</v>
      </c>
      <c r="G470" s="306" t="s">
        <v>2467</v>
      </c>
      <c r="H470" s="306" t="s">
        <v>638</v>
      </c>
      <c r="I470" s="306" t="s">
        <v>2470</v>
      </c>
      <c r="J470" s="304" t="s">
        <v>87</v>
      </c>
      <c r="K470" s="307">
        <v>43388</v>
      </c>
      <c r="L470" s="307">
        <v>44104</v>
      </c>
      <c r="M470" s="306" t="s">
        <v>221</v>
      </c>
      <c r="N470" s="304" t="s">
        <v>90</v>
      </c>
      <c r="O470" s="306" t="s">
        <v>51</v>
      </c>
      <c r="P470" s="304">
        <v>1</v>
      </c>
      <c r="Q470" s="304">
        <v>1</v>
      </c>
      <c r="R470" s="304">
        <v>1</v>
      </c>
      <c r="S470" s="308">
        <v>1</v>
      </c>
    </row>
    <row r="471" spans="1:19" ht="108">
      <c r="A471" s="303">
        <v>466</v>
      </c>
      <c r="B471" s="304">
        <v>690</v>
      </c>
      <c r="C471" s="305" t="s">
        <v>288</v>
      </c>
      <c r="D471" s="306" t="s">
        <v>724</v>
      </c>
      <c r="E471" s="305" t="s">
        <v>831</v>
      </c>
      <c r="F471" s="306" t="s">
        <v>42</v>
      </c>
      <c r="G471" s="306" t="s">
        <v>2471</v>
      </c>
      <c r="H471" s="306" t="s">
        <v>537</v>
      </c>
      <c r="I471" s="306" t="s">
        <v>2472</v>
      </c>
      <c r="J471" s="304" t="s">
        <v>87</v>
      </c>
      <c r="K471" s="307">
        <v>43388</v>
      </c>
      <c r="L471" s="309">
        <v>45657</v>
      </c>
      <c r="M471" s="306" t="s">
        <v>209</v>
      </c>
      <c r="N471" s="304" t="s">
        <v>90</v>
      </c>
      <c r="O471" s="306" t="s">
        <v>51</v>
      </c>
      <c r="P471" s="304">
        <v>1</v>
      </c>
      <c r="Q471" s="304">
        <v>1</v>
      </c>
      <c r="R471" s="304">
        <v>1</v>
      </c>
      <c r="S471" s="308">
        <v>1</v>
      </c>
    </row>
    <row r="472" spans="1:19" ht="108">
      <c r="A472" s="303">
        <v>467</v>
      </c>
      <c r="B472" s="304">
        <v>691</v>
      </c>
      <c r="C472" s="305" t="s">
        <v>288</v>
      </c>
      <c r="D472" s="306" t="s">
        <v>724</v>
      </c>
      <c r="E472" s="305" t="s">
        <v>831</v>
      </c>
      <c r="F472" s="306" t="s">
        <v>42</v>
      </c>
      <c r="G472" s="306" t="s">
        <v>2471</v>
      </c>
      <c r="H472" s="306" t="s">
        <v>541</v>
      </c>
      <c r="I472" s="306" t="s">
        <v>2473</v>
      </c>
      <c r="J472" s="304" t="s">
        <v>87</v>
      </c>
      <c r="K472" s="307">
        <v>43388</v>
      </c>
      <c r="L472" s="309">
        <v>45646</v>
      </c>
      <c r="M472" s="306" t="s">
        <v>205</v>
      </c>
      <c r="N472" s="304" t="s">
        <v>90</v>
      </c>
      <c r="O472" s="306" t="s">
        <v>51</v>
      </c>
      <c r="P472" s="304">
        <v>1</v>
      </c>
      <c r="Q472" s="304">
        <v>1</v>
      </c>
      <c r="R472" s="304">
        <v>1</v>
      </c>
      <c r="S472" s="308">
        <v>1</v>
      </c>
    </row>
    <row r="473" spans="1:19" ht="108">
      <c r="A473" s="303">
        <v>468</v>
      </c>
      <c r="B473" s="304">
        <v>692</v>
      </c>
      <c r="C473" s="305" t="s">
        <v>288</v>
      </c>
      <c r="D473" s="306" t="s">
        <v>724</v>
      </c>
      <c r="E473" s="305" t="s">
        <v>831</v>
      </c>
      <c r="F473" s="306" t="s">
        <v>42</v>
      </c>
      <c r="G473" s="306" t="s">
        <v>2471</v>
      </c>
      <c r="H473" s="306" t="s">
        <v>544</v>
      </c>
      <c r="I473" s="306" t="s">
        <v>2474</v>
      </c>
      <c r="J473" s="304" t="s">
        <v>87</v>
      </c>
      <c r="K473" s="307">
        <v>43388</v>
      </c>
      <c r="L473" s="309">
        <v>44185</v>
      </c>
      <c r="M473" s="306" t="s">
        <v>205</v>
      </c>
      <c r="N473" s="304" t="s">
        <v>90</v>
      </c>
      <c r="O473" s="306" t="s">
        <v>51</v>
      </c>
      <c r="P473" s="304">
        <v>1</v>
      </c>
      <c r="Q473" s="304">
        <v>1</v>
      </c>
      <c r="R473" s="304">
        <v>1</v>
      </c>
      <c r="S473" s="308">
        <v>1</v>
      </c>
    </row>
    <row r="474" spans="1:19" ht="108">
      <c r="A474" s="303">
        <v>469</v>
      </c>
      <c r="B474" s="304">
        <v>693</v>
      </c>
      <c r="C474" s="305" t="s">
        <v>288</v>
      </c>
      <c r="D474" s="306" t="s">
        <v>724</v>
      </c>
      <c r="E474" s="305" t="s">
        <v>831</v>
      </c>
      <c r="F474" s="306" t="s">
        <v>42</v>
      </c>
      <c r="G474" s="306" t="s">
        <v>2471</v>
      </c>
      <c r="H474" s="306" t="s">
        <v>550</v>
      </c>
      <c r="I474" s="306" t="s">
        <v>2475</v>
      </c>
      <c r="J474" s="304" t="s">
        <v>87</v>
      </c>
      <c r="K474" s="307">
        <v>43388</v>
      </c>
      <c r="L474" s="309">
        <v>44185</v>
      </c>
      <c r="M474" s="306" t="s">
        <v>209</v>
      </c>
      <c r="N474" s="304" t="s">
        <v>90</v>
      </c>
      <c r="O474" s="306" t="s">
        <v>51</v>
      </c>
      <c r="P474" s="304">
        <v>1</v>
      </c>
      <c r="Q474" s="304">
        <v>1</v>
      </c>
      <c r="R474" s="304">
        <v>1</v>
      </c>
      <c r="S474" s="308">
        <v>1</v>
      </c>
    </row>
    <row r="475" spans="1:19" ht="108">
      <c r="A475" s="303">
        <v>470</v>
      </c>
      <c r="B475" s="304">
        <v>694</v>
      </c>
      <c r="C475" s="305" t="s">
        <v>288</v>
      </c>
      <c r="D475" s="306" t="s">
        <v>724</v>
      </c>
      <c r="E475" s="305" t="s">
        <v>831</v>
      </c>
      <c r="F475" s="306" t="s">
        <v>42</v>
      </c>
      <c r="G475" s="306" t="s">
        <v>2471</v>
      </c>
      <c r="H475" s="306" t="s">
        <v>553</v>
      </c>
      <c r="I475" s="306" t="s">
        <v>2476</v>
      </c>
      <c r="J475" s="304" t="s">
        <v>87</v>
      </c>
      <c r="K475" s="307">
        <v>43388</v>
      </c>
      <c r="L475" s="307">
        <v>43647</v>
      </c>
      <c r="M475" s="306" t="s">
        <v>221</v>
      </c>
      <c r="N475" s="304" t="s">
        <v>90</v>
      </c>
      <c r="O475" s="306" t="s">
        <v>51</v>
      </c>
      <c r="P475" s="304">
        <v>1</v>
      </c>
      <c r="Q475" s="304">
        <v>1</v>
      </c>
      <c r="R475" s="304">
        <v>1</v>
      </c>
      <c r="S475" s="308">
        <v>1</v>
      </c>
    </row>
    <row r="476" spans="1:19" ht="108">
      <c r="A476" s="303">
        <v>471</v>
      </c>
      <c r="B476" s="304">
        <v>695</v>
      </c>
      <c r="C476" s="305" t="s">
        <v>288</v>
      </c>
      <c r="D476" s="306" t="s">
        <v>724</v>
      </c>
      <c r="E476" s="305" t="s">
        <v>831</v>
      </c>
      <c r="F476" s="306" t="s">
        <v>42</v>
      </c>
      <c r="G476" s="306" t="s">
        <v>2471</v>
      </c>
      <c r="H476" s="306" t="s">
        <v>557</v>
      </c>
      <c r="I476" s="306" t="s">
        <v>2477</v>
      </c>
      <c r="J476" s="304" t="s">
        <v>87</v>
      </c>
      <c r="K476" s="307">
        <v>43388</v>
      </c>
      <c r="L476" s="309">
        <v>45646</v>
      </c>
      <c r="M476" s="306" t="s">
        <v>209</v>
      </c>
      <c r="N476" s="304" t="s">
        <v>90</v>
      </c>
      <c r="O476" s="306" t="s">
        <v>51</v>
      </c>
      <c r="P476" s="304">
        <v>1</v>
      </c>
      <c r="Q476" s="304">
        <v>1</v>
      </c>
      <c r="R476" s="304">
        <v>1</v>
      </c>
      <c r="S476" s="308">
        <v>1</v>
      </c>
    </row>
    <row r="477" spans="1:19" ht="108">
      <c r="A477" s="303">
        <v>472</v>
      </c>
      <c r="B477" s="304">
        <v>696</v>
      </c>
      <c r="C477" s="305" t="s">
        <v>288</v>
      </c>
      <c r="D477" s="306" t="s">
        <v>724</v>
      </c>
      <c r="E477" s="305" t="s">
        <v>831</v>
      </c>
      <c r="F477" s="306" t="s">
        <v>42</v>
      </c>
      <c r="G477" s="306" t="s">
        <v>2471</v>
      </c>
      <c r="H477" s="306" t="s">
        <v>2428</v>
      </c>
      <c r="I477" s="306" t="s">
        <v>2478</v>
      </c>
      <c r="J477" s="304" t="s">
        <v>87</v>
      </c>
      <c r="K477" s="304" t="s">
        <v>2479</v>
      </c>
      <c r="L477" s="309">
        <v>45646</v>
      </c>
      <c r="M477" s="306" t="s">
        <v>209</v>
      </c>
      <c r="N477" s="304" t="s">
        <v>96</v>
      </c>
      <c r="O477" s="306" t="s">
        <v>51</v>
      </c>
      <c r="P477" s="304">
        <v>1</v>
      </c>
      <c r="Q477" s="304">
        <v>1</v>
      </c>
      <c r="R477" s="304">
        <v>1</v>
      </c>
      <c r="S477" s="308">
        <v>1</v>
      </c>
    </row>
    <row r="478" spans="1:19" ht="108">
      <c r="A478" s="303">
        <v>473</v>
      </c>
      <c r="B478" s="304">
        <v>697</v>
      </c>
      <c r="C478" s="305" t="s">
        <v>288</v>
      </c>
      <c r="D478" s="306" t="s">
        <v>724</v>
      </c>
      <c r="E478" s="305" t="s">
        <v>831</v>
      </c>
      <c r="F478" s="306" t="s">
        <v>42</v>
      </c>
      <c r="G478" s="306" t="s">
        <v>2471</v>
      </c>
      <c r="H478" s="306" t="s">
        <v>562</v>
      </c>
      <c r="I478" s="306" t="s">
        <v>2478</v>
      </c>
      <c r="J478" s="304" t="s">
        <v>87</v>
      </c>
      <c r="K478" s="307">
        <v>43388</v>
      </c>
      <c r="L478" s="309">
        <v>45280</v>
      </c>
      <c r="M478" s="306" t="s">
        <v>209</v>
      </c>
      <c r="N478" s="304" t="s">
        <v>96</v>
      </c>
      <c r="O478" s="306" t="s">
        <v>51</v>
      </c>
      <c r="P478" s="304">
        <v>1</v>
      </c>
      <c r="Q478" s="304">
        <v>1</v>
      </c>
      <c r="R478" s="304">
        <v>1</v>
      </c>
      <c r="S478" s="308">
        <v>1</v>
      </c>
    </row>
    <row r="479" spans="1:19" ht="180">
      <c r="A479" s="303">
        <v>474</v>
      </c>
      <c r="B479" s="304">
        <v>698</v>
      </c>
      <c r="C479" s="305" t="s">
        <v>288</v>
      </c>
      <c r="D479" s="306" t="s">
        <v>724</v>
      </c>
      <c r="E479" s="305" t="s">
        <v>831</v>
      </c>
      <c r="F479" s="306" t="s">
        <v>42</v>
      </c>
      <c r="G479" s="306" t="s">
        <v>2480</v>
      </c>
      <c r="H479" s="306" t="s">
        <v>566</v>
      </c>
      <c r="I479" s="306" t="s">
        <v>2481</v>
      </c>
      <c r="J479" s="304" t="s">
        <v>87</v>
      </c>
      <c r="K479" s="307">
        <v>43388</v>
      </c>
      <c r="L479" s="309">
        <v>43819</v>
      </c>
      <c r="M479" s="306" t="s">
        <v>221</v>
      </c>
      <c r="N479" s="304" t="s">
        <v>90</v>
      </c>
      <c r="O479" s="306" t="s">
        <v>51</v>
      </c>
      <c r="P479" s="304">
        <v>1</v>
      </c>
      <c r="Q479" s="304">
        <v>1</v>
      </c>
      <c r="R479" s="304">
        <v>1</v>
      </c>
      <c r="S479" s="308">
        <v>1</v>
      </c>
    </row>
    <row r="480" spans="1:19" ht="120">
      <c r="A480" s="303">
        <v>475</v>
      </c>
      <c r="B480" s="304">
        <v>699</v>
      </c>
      <c r="C480" s="305" t="s">
        <v>288</v>
      </c>
      <c r="D480" s="306" t="s">
        <v>724</v>
      </c>
      <c r="E480" s="305" t="s">
        <v>831</v>
      </c>
      <c r="F480" s="306" t="s">
        <v>42</v>
      </c>
      <c r="G480" s="306" t="s">
        <v>2480</v>
      </c>
      <c r="H480" s="306" t="s">
        <v>570</v>
      </c>
      <c r="I480" s="306" t="s">
        <v>2482</v>
      </c>
      <c r="J480" s="304" t="s">
        <v>87</v>
      </c>
      <c r="K480" s="307">
        <v>43388</v>
      </c>
      <c r="L480" s="307">
        <v>43647</v>
      </c>
      <c r="M480" s="306" t="s">
        <v>221</v>
      </c>
      <c r="N480" s="304" t="s">
        <v>90</v>
      </c>
      <c r="O480" s="306" t="s">
        <v>51</v>
      </c>
      <c r="P480" s="304">
        <v>1</v>
      </c>
      <c r="Q480" s="304">
        <v>1</v>
      </c>
      <c r="R480" s="304">
        <v>1</v>
      </c>
      <c r="S480" s="308">
        <v>1</v>
      </c>
    </row>
    <row r="481" spans="1:19" ht="180">
      <c r="A481" s="303">
        <v>476</v>
      </c>
      <c r="B481" s="304">
        <v>700</v>
      </c>
      <c r="C481" s="305" t="s">
        <v>288</v>
      </c>
      <c r="D481" s="306" t="s">
        <v>724</v>
      </c>
      <c r="E481" s="305" t="s">
        <v>831</v>
      </c>
      <c r="F481" s="306" t="s">
        <v>42</v>
      </c>
      <c r="G481" s="306" t="s">
        <v>2480</v>
      </c>
      <c r="H481" s="306" t="s">
        <v>575</v>
      </c>
      <c r="I481" s="306" t="s">
        <v>2483</v>
      </c>
      <c r="J481" s="304" t="s">
        <v>87</v>
      </c>
      <c r="K481" s="307">
        <v>43388</v>
      </c>
      <c r="L481" s="309">
        <v>44185</v>
      </c>
      <c r="M481" s="306" t="s">
        <v>221</v>
      </c>
      <c r="N481" s="304" t="s">
        <v>96</v>
      </c>
      <c r="O481" s="306" t="s">
        <v>51</v>
      </c>
      <c r="P481" s="304">
        <v>1</v>
      </c>
      <c r="Q481" s="304">
        <v>1</v>
      </c>
      <c r="R481" s="304">
        <v>1</v>
      </c>
      <c r="S481" s="308">
        <v>1</v>
      </c>
    </row>
    <row r="482" spans="1:19" ht="180">
      <c r="A482" s="303">
        <v>477</v>
      </c>
      <c r="B482" s="304">
        <v>701</v>
      </c>
      <c r="C482" s="305" t="s">
        <v>288</v>
      </c>
      <c r="D482" s="306" t="s">
        <v>724</v>
      </c>
      <c r="E482" s="305" t="s">
        <v>831</v>
      </c>
      <c r="F482" s="306" t="s">
        <v>42</v>
      </c>
      <c r="G482" s="306" t="s">
        <v>2484</v>
      </c>
      <c r="H482" s="306" t="s">
        <v>579</v>
      </c>
      <c r="I482" s="306" t="s">
        <v>2485</v>
      </c>
      <c r="J482" s="304" t="s">
        <v>87</v>
      </c>
      <c r="K482" s="307">
        <v>43388</v>
      </c>
      <c r="L482" s="307">
        <v>43647</v>
      </c>
      <c r="M482" s="306" t="s">
        <v>221</v>
      </c>
      <c r="N482" s="304" t="s">
        <v>96</v>
      </c>
      <c r="O482" s="306" t="s">
        <v>51</v>
      </c>
      <c r="P482" s="304">
        <v>1</v>
      </c>
      <c r="Q482" s="304">
        <v>1</v>
      </c>
      <c r="R482" s="304">
        <v>1</v>
      </c>
      <c r="S482" s="308">
        <v>1</v>
      </c>
    </row>
    <row r="483" spans="1:19" ht="394">
      <c r="A483" s="303">
        <v>478</v>
      </c>
      <c r="B483" s="304">
        <v>702</v>
      </c>
      <c r="C483" s="305" t="s">
        <v>288</v>
      </c>
      <c r="D483" s="306" t="s">
        <v>724</v>
      </c>
      <c r="E483" s="305" t="s">
        <v>831</v>
      </c>
      <c r="F483" s="306" t="s">
        <v>42</v>
      </c>
      <c r="G483" s="306" t="s">
        <v>2484</v>
      </c>
      <c r="H483" s="306" t="s">
        <v>583</v>
      </c>
      <c r="I483" s="306" t="s">
        <v>2486</v>
      </c>
      <c r="J483" s="304" t="s">
        <v>87</v>
      </c>
      <c r="K483" s="307">
        <v>43388</v>
      </c>
      <c r="L483" s="307">
        <v>43525</v>
      </c>
      <c r="M483" s="306" t="s">
        <v>221</v>
      </c>
      <c r="N483" s="304" t="s">
        <v>90</v>
      </c>
      <c r="O483" s="306" t="s">
        <v>55</v>
      </c>
      <c r="P483" s="304">
        <v>1</v>
      </c>
      <c r="Q483" s="304">
        <v>1</v>
      </c>
      <c r="R483" s="304">
        <v>1</v>
      </c>
      <c r="S483" s="308">
        <v>1</v>
      </c>
    </row>
    <row r="484" spans="1:19" ht="240">
      <c r="A484" s="303">
        <v>479</v>
      </c>
      <c r="B484" s="304">
        <v>703</v>
      </c>
      <c r="C484" s="305" t="s">
        <v>288</v>
      </c>
      <c r="D484" s="306" t="s">
        <v>724</v>
      </c>
      <c r="E484" s="305" t="s">
        <v>831</v>
      </c>
      <c r="F484" s="306" t="s">
        <v>42</v>
      </c>
      <c r="G484" s="306" t="s">
        <v>2484</v>
      </c>
      <c r="H484" s="306" t="s">
        <v>586</v>
      </c>
      <c r="I484" s="306" t="s">
        <v>2487</v>
      </c>
      <c r="J484" s="304" t="s">
        <v>87</v>
      </c>
      <c r="K484" s="307">
        <v>43388</v>
      </c>
      <c r="L484" s="309">
        <v>45646</v>
      </c>
      <c r="M484" s="306" t="s">
        <v>205</v>
      </c>
      <c r="N484" s="304" t="s">
        <v>96</v>
      </c>
      <c r="O484" s="306" t="s">
        <v>55</v>
      </c>
      <c r="P484" s="304">
        <v>1</v>
      </c>
      <c r="Q484" s="304">
        <v>1</v>
      </c>
      <c r="R484" s="304">
        <v>1</v>
      </c>
      <c r="S484" s="308">
        <v>1</v>
      </c>
    </row>
    <row r="485" spans="1:19" ht="240">
      <c r="A485" s="303">
        <v>480</v>
      </c>
      <c r="B485" s="304">
        <v>704</v>
      </c>
      <c r="C485" s="305" t="s">
        <v>288</v>
      </c>
      <c r="D485" s="306" t="s">
        <v>724</v>
      </c>
      <c r="E485" s="305" t="s">
        <v>831</v>
      </c>
      <c r="F485" s="306" t="s">
        <v>42</v>
      </c>
      <c r="G485" s="306" t="s">
        <v>2484</v>
      </c>
      <c r="H485" s="306" t="s">
        <v>591</v>
      </c>
      <c r="I485" s="306" t="s">
        <v>2488</v>
      </c>
      <c r="J485" s="304" t="s">
        <v>87</v>
      </c>
      <c r="K485" s="307">
        <v>43388</v>
      </c>
      <c r="L485" s="309">
        <v>45646</v>
      </c>
      <c r="M485" s="306" t="s">
        <v>205</v>
      </c>
      <c r="N485" s="304" t="s">
        <v>96</v>
      </c>
      <c r="O485" s="306" t="s">
        <v>55</v>
      </c>
      <c r="P485" s="304">
        <v>1</v>
      </c>
      <c r="Q485" s="304">
        <v>1</v>
      </c>
      <c r="R485" s="304">
        <v>1</v>
      </c>
      <c r="S485" s="308">
        <v>1</v>
      </c>
    </row>
    <row r="486" spans="1:19" ht="405">
      <c r="A486" s="303">
        <v>481</v>
      </c>
      <c r="B486" s="304">
        <v>705</v>
      </c>
      <c r="C486" s="305" t="s">
        <v>288</v>
      </c>
      <c r="D486" s="306" t="s">
        <v>724</v>
      </c>
      <c r="E486" s="305" t="s">
        <v>831</v>
      </c>
      <c r="F486" s="306" t="s">
        <v>42</v>
      </c>
      <c r="G486" s="306" t="s">
        <v>2484</v>
      </c>
      <c r="H486" s="306" t="s">
        <v>593</v>
      </c>
      <c r="I486" s="306" t="s">
        <v>2489</v>
      </c>
      <c r="J486" s="304" t="s">
        <v>87</v>
      </c>
      <c r="K486" s="307">
        <v>43388</v>
      </c>
      <c r="L486" s="309">
        <v>44185</v>
      </c>
      <c r="M486" s="306" t="s">
        <v>89</v>
      </c>
      <c r="N486" s="304" t="s">
        <v>90</v>
      </c>
      <c r="O486" s="306" t="s">
        <v>51</v>
      </c>
      <c r="P486" s="304">
        <v>1</v>
      </c>
      <c r="Q486" s="304">
        <v>1</v>
      </c>
      <c r="R486" s="304">
        <v>1</v>
      </c>
      <c r="S486" s="308">
        <v>1</v>
      </c>
    </row>
    <row r="487" spans="1:19" ht="204">
      <c r="A487" s="303">
        <v>482</v>
      </c>
      <c r="B487" s="304">
        <v>706</v>
      </c>
      <c r="C487" s="305" t="s">
        <v>288</v>
      </c>
      <c r="D487" s="306" t="s">
        <v>724</v>
      </c>
      <c r="E487" s="305" t="s">
        <v>831</v>
      </c>
      <c r="F487" s="306" t="s">
        <v>42</v>
      </c>
      <c r="G487" s="306" t="s">
        <v>2484</v>
      </c>
      <c r="H487" s="306" t="s">
        <v>597</v>
      </c>
      <c r="I487" s="306" t="s">
        <v>2490</v>
      </c>
      <c r="J487" s="304" t="s">
        <v>87</v>
      </c>
      <c r="K487" s="307">
        <v>43388</v>
      </c>
      <c r="L487" s="309">
        <v>45646</v>
      </c>
      <c r="M487" s="306" t="s">
        <v>205</v>
      </c>
      <c r="N487" s="304" t="s">
        <v>96</v>
      </c>
      <c r="O487" s="306" t="s">
        <v>55</v>
      </c>
      <c r="P487" s="304">
        <v>1</v>
      </c>
      <c r="Q487" s="304">
        <v>1</v>
      </c>
      <c r="R487" s="304">
        <v>1</v>
      </c>
      <c r="S487" s="308">
        <v>1</v>
      </c>
    </row>
    <row r="488" spans="1:19" ht="84">
      <c r="A488" s="303">
        <v>483</v>
      </c>
      <c r="B488" s="304">
        <v>707</v>
      </c>
      <c r="C488" s="305" t="s">
        <v>288</v>
      </c>
      <c r="D488" s="306" t="s">
        <v>724</v>
      </c>
      <c r="E488" s="305" t="s">
        <v>831</v>
      </c>
      <c r="F488" s="306" t="s">
        <v>42</v>
      </c>
      <c r="G488" s="306" t="s">
        <v>2484</v>
      </c>
      <c r="H488" s="306" t="s">
        <v>601</v>
      </c>
      <c r="I488" s="306" t="s">
        <v>2491</v>
      </c>
      <c r="J488" s="304" t="s">
        <v>87</v>
      </c>
      <c r="K488" s="307">
        <v>43388</v>
      </c>
      <c r="L488" s="307">
        <v>45383</v>
      </c>
      <c r="M488" s="306" t="s">
        <v>89</v>
      </c>
      <c r="N488" s="304" t="s">
        <v>96</v>
      </c>
      <c r="O488" s="306" t="s">
        <v>55</v>
      </c>
      <c r="P488" s="304">
        <v>1</v>
      </c>
      <c r="Q488" s="304">
        <v>1</v>
      </c>
      <c r="R488" s="304">
        <v>1</v>
      </c>
      <c r="S488" s="308">
        <v>1</v>
      </c>
    </row>
    <row r="489" spans="1:19" ht="96">
      <c r="A489" s="303">
        <v>484</v>
      </c>
      <c r="B489" s="304">
        <v>708</v>
      </c>
      <c r="C489" s="305" t="s">
        <v>288</v>
      </c>
      <c r="D489" s="306" t="s">
        <v>724</v>
      </c>
      <c r="E489" s="305" t="s">
        <v>831</v>
      </c>
      <c r="F489" s="306" t="s">
        <v>42</v>
      </c>
      <c r="G489" s="306" t="s">
        <v>2484</v>
      </c>
      <c r="H489" s="306" t="s">
        <v>607</v>
      </c>
      <c r="I489" s="306" t="s">
        <v>2492</v>
      </c>
      <c r="J489" s="304" t="s">
        <v>87</v>
      </c>
      <c r="K489" s="307">
        <v>43388</v>
      </c>
      <c r="L489" s="309">
        <v>45646</v>
      </c>
      <c r="M489" s="306" t="s">
        <v>205</v>
      </c>
      <c r="N489" s="304" t="s">
        <v>96</v>
      </c>
      <c r="O489" s="306" t="s">
        <v>55</v>
      </c>
      <c r="P489" s="304">
        <v>1</v>
      </c>
      <c r="Q489" s="304">
        <v>1</v>
      </c>
      <c r="R489" s="304">
        <v>1</v>
      </c>
      <c r="S489" s="308">
        <v>1</v>
      </c>
    </row>
    <row r="490" spans="1:19" ht="204">
      <c r="A490" s="303">
        <v>485</v>
      </c>
      <c r="B490" s="304">
        <v>709</v>
      </c>
      <c r="C490" s="305" t="s">
        <v>288</v>
      </c>
      <c r="D490" s="306" t="s">
        <v>724</v>
      </c>
      <c r="E490" s="305" t="s">
        <v>831</v>
      </c>
      <c r="F490" s="306" t="s">
        <v>42</v>
      </c>
      <c r="G490" s="306" t="s">
        <v>2493</v>
      </c>
      <c r="H490" s="306" t="s">
        <v>499</v>
      </c>
      <c r="I490" s="306" t="s">
        <v>2494</v>
      </c>
      <c r="J490" s="304" t="s">
        <v>87</v>
      </c>
      <c r="K490" s="307">
        <v>43388</v>
      </c>
      <c r="L490" s="309">
        <v>45646</v>
      </c>
      <c r="M490" s="306" t="s">
        <v>95</v>
      </c>
      <c r="N490" s="304" t="s">
        <v>96</v>
      </c>
      <c r="O490" s="306" t="s">
        <v>55</v>
      </c>
      <c r="P490" s="304">
        <v>1</v>
      </c>
      <c r="Q490" s="304">
        <v>1</v>
      </c>
      <c r="R490" s="304">
        <v>1</v>
      </c>
      <c r="S490" s="308">
        <v>1</v>
      </c>
    </row>
    <row r="491" spans="1:19" ht="180">
      <c r="A491" s="303">
        <v>486</v>
      </c>
      <c r="B491" s="304">
        <v>710</v>
      </c>
      <c r="C491" s="305" t="s">
        <v>288</v>
      </c>
      <c r="D491" s="306" t="s">
        <v>724</v>
      </c>
      <c r="E491" s="305" t="s">
        <v>831</v>
      </c>
      <c r="F491" s="306" t="s">
        <v>42</v>
      </c>
      <c r="G491" s="306" t="s">
        <v>2493</v>
      </c>
      <c r="H491" s="306" t="s">
        <v>506</v>
      </c>
      <c r="I491" s="306" t="s">
        <v>2495</v>
      </c>
      <c r="J491" s="304" t="s">
        <v>87</v>
      </c>
      <c r="K491" s="307">
        <v>43388</v>
      </c>
      <c r="L491" s="307">
        <v>43556</v>
      </c>
      <c r="M491" s="306" t="s">
        <v>89</v>
      </c>
      <c r="N491" s="304" t="s">
        <v>90</v>
      </c>
      <c r="O491" s="306" t="s">
        <v>55</v>
      </c>
      <c r="P491" s="304">
        <v>1</v>
      </c>
      <c r="Q491" s="304">
        <v>1</v>
      </c>
      <c r="R491" s="304">
        <v>1</v>
      </c>
      <c r="S491" s="308">
        <v>1</v>
      </c>
    </row>
    <row r="492" spans="1:19" ht="216">
      <c r="A492" s="303">
        <v>487</v>
      </c>
      <c r="B492" s="304">
        <v>711</v>
      </c>
      <c r="C492" s="305" t="s">
        <v>288</v>
      </c>
      <c r="D492" s="306" t="s">
        <v>724</v>
      </c>
      <c r="E492" s="305" t="s">
        <v>831</v>
      </c>
      <c r="F492" s="306" t="s">
        <v>42</v>
      </c>
      <c r="G492" s="306" t="s">
        <v>2493</v>
      </c>
      <c r="H492" s="306" t="s">
        <v>510</v>
      </c>
      <c r="I492" s="306" t="s">
        <v>2496</v>
      </c>
      <c r="J492" s="304" t="s">
        <v>87</v>
      </c>
      <c r="K492" s="307">
        <v>43388</v>
      </c>
      <c r="L492" s="309">
        <v>45646</v>
      </c>
      <c r="M492" s="306" t="s">
        <v>205</v>
      </c>
      <c r="N492" s="304" t="s">
        <v>96</v>
      </c>
      <c r="O492" s="306" t="s">
        <v>55</v>
      </c>
      <c r="P492" s="304">
        <v>1</v>
      </c>
      <c r="Q492" s="304">
        <v>1</v>
      </c>
      <c r="R492" s="304">
        <v>1</v>
      </c>
      <c r="S492" s="308">
        <v>1</v>
      </c>
    </row>
    <row r="493" spans="1:19" ht="240">
      <c r="A493" s="303">
        <v>488</v>
      </c>
      <c r="B493" s="304">
        <v>712</v>
      </c>
      <c r="C493" s="305" t="s">
        <v>288</v>
      </c>
      <c r="D493" s="306" t="s">
        <v>724</v>
      </c>
      <c r="E493" s="305" t="s">
        <v>831</v>
      </c>
      <c r="F493" s="306" t="s">
        <v>42</v>
      </c>
      <c r="G493" s="306" t="s">
        <v>2493</v>
      </c>
      <c r="H493" s="306" t="s">
        <v>516</v>
      </c>
      <c r="I493" s="306" t="s">
        <v>2497</v>
      </c>
      <c r="J493" s="304" t="s">
        <v>87</v>
      </c>
      <c r="K493" s="307">
        <v>43388</v>
      </c>
      <c r="L493" s="309">
        <v>45646</v>
      </c>
      <c r="M493" s="306" t="s">
        <v>211</v>
      </c>
      <c r="N493" s="304" t="s">
        <v>96</v>
      </c>
      <c r="O493" s="306" t="s">
        <v>55</v>
      </c>
      <c r="P493" s="304">
        <v>1</v>
      </c>
      <c r="Q493" s="304">
        <v>1</v>
      </c>
      <c r="R493" s="304">
        <v>1</v>
      </c>
      <c r="S493" s="308">
        <v>1</v>
      </c>
    </row>
    <row r="494" spans="1:19" ht="405">
      <c r="A494" s="303">
        <v>489</v>
      </c>
      <c r="B494" s="304">
        <v>713</v>
      </c>
      <c r="C494" s="305" t="s">
        <v>288</v>
      </c>
      <c r="D494" s="306" t="s">
        <v>724</v>
      </c>
      <c r="E494" s="305" t="s">
        <v>831</v>
      </c>
      <c r="F494" s="306" t="s">
        <v>42</v>
      </c>
      <c r="G494" s="306" t="s">
        <v>2493</v>
      </c>
      <c r="H494" s="306" t="s">
        <v>520</v>
      </c>
      <c r="I494" s="306" t="s">
        <v>2498</v>
      </c>
      <c r="J494" s="304" t="s">
        <v>87</v>
      </c>
      <c r="K494" s="307">
        <v>43388</v>
      </c>
      <c r="L494" s="309">
        <v>45646</v>
      </c>
      <c r="M494" s="306" t="s">
        <v>205</v>
      </c>
      <c r="N494" s="304" t="s">
        <v>96</v>
      </c>
      <c r="O494" s="306" t="s">
        <v>51</v>
      </c>
      <c r="P494" s="304">
        <v>1</v>
      </c>
      <c r="Q494" s="304">
        <v>1</v>
      </c>
      <c r="R494" s="304">
        <v>1</v>
      </c>
      <c r="S494" s="308">
        <v>1</v>
      </c>
    </row>
    <row r="495" spans="1:19" ht="180">
      <c r="A495" s="303">
        <v>490</v>
      </c>
      <c r="B495" s="304">
        <v>714</v>
      </c>
      <c r="C495" s="305" t="s">
        <v>288</v>
      </c>
      <c r="D495" s="306" t="s">
        <v>724</v>
      </c>
      <c r="E495" s="305" t="s">
        <v>831</v>
      </c>
      <c r="F495" s="306" t="s">
        <v>42</v>
      </c>
      <c r="G495" s="306" t="s">
        <v>2493</v>
      </c>
      <c r="H495" s="306" t="s">
        <v>525</v>
      </c>
      <c r="I495" s="306" t="s">
        <v>2499</v>
      </c>
      <c r="J495" s="304" t="s">
        <v>87</v>
      </c>
      <c r="K495" s="307">
        <v>43388</v>
      </c>
      <c r="L495" s="309">
        <v>45646</v>
      </c>
      <c r="M495" s="306" t="s">
        <v>205</v>
      </c>
      <c r="N495" s="304" t="s">
        <v>90</v>
      </c>
      <c r="O495" s="306" t="s">
        <v>55</v>
      </c>
      <c r="P495" s="304">
        <v>1</v>
      </c>
      <c r="Q495" s="304">
        <v>1</v>
      </c>
      <c r="R495" s="304">
        <v>1</v>
      </c>
      <c r="S495" s="308">
        <v>1</v>
      </c>
    </row>
    <row r="496" spans="1:19" ht="317">
      <c r="A496" s="303">
        <v>491</v>
      </c>
      <c r="B496" s="304">
        <v>715</v>
      </c>
      <c r="C496" s="305" t="s">
        <v>288</v>
      </c>
      <c r="D496" s="306" t="s">
        <v>724</v>
      </c>
      <c r="E496" s="305" t="s">
        <v>831</v>
      </c>
      <c r="F496" s="306" t="s">
        <v>42</v>
      </c>
      <c r="G496" s="306" t="s">
        <v>2493</v>
      </c>
      <c r="H496" s="306" t="s">
        <v>528</v>
      </c>
      <c r="I496" s="306" t="s">
        <v>2500</v>
      </c>
      <c r="J496" s="304" t="s">
        <v>87</v>
      </c>
      <c r="K496" s="307">
        <v>43388</v>
      </c>
      <c r="L496" s="309">
        <v>45646</v>
      </c>
      <c r="M496" s="306" t="s">
        <v>205</v>
      </c>
      <c r="N496" s="304" t="s">
        <v>96</v>
      </c>
      <c r="O496" s="306" t="s">
        <v>55</v>
      </c>
      <c r="P496" s="304">
        <v>1</v>
      </c>
      <c r="Q496" s="304">
        <v>1</v>
      </c>
      <c r="R496" s="304">
        <v>1</v>
      </c>
      <c r="S496" s="308">
        <v>1</v>
      </c>
    </row>
    <row r="497" spans="1:19" ht="180">
      <c r="A497" s="303">
        <v>492</v>
      </c>
      <c r="B497" s="304">
        <v>716</v>
      </c>
      <c r="C497" s="305" t="s">
        <v>288</v>
      </c>
      <c r="D497" s="306" t="s">
        <v>724</v>
      </c>
      <c r="E497" s="305" t="s">
        <v>831</v>
      </c>
      <c r="F497" s="306" t="s">
        <v>42</v>
      </c>
      <c r="G497" s="306" t="s">
        <v>2493</v>
      </c>
      <c r="H497" s="306" t="s">
        <v>531</v>
      </c>
      <c r="I497" s="306" t="s">
        <v>2501</v>
      </c>
      <c r="J497" s="304" t="s">
        <v>87</v>
      </c>
      <c r="K497" s="307">
        <v>43388</v>
      </c>
      <c r="L497" s="309">
        <v>45646</v>
      </c>
      <c r="M497" s="306" t="s">
        <v>205</v>
      </c>
      <c r="N497" s="304" t="s">
        <v>96</v>
      </c>
      <c r="O497" s="306" t="s">
        <v>55</v>
      </c>
      <c r="P497" s="304">
        <v>1</v>
      </c>
      <c r="Q497" s="304">
        <v>1</v>
      </c>
      <c r="R497" s="304">
        <v>1</v>
      </c>
      <c r="S497" s="308">
        <v>1</v>
      </c>
    </row>
    <row r="498" spans="1:19" ht="251">
      <c r="A498" s="303">
        <v>493</v>
      </c>
      <c r="B498" s="304">
        <v>717</v>
      </c>
      <c r="C498" s="305" t="s">
        <v>288</v>
      </c>
      <c r="D498" s="306" t="s">
        <v>724</v>
      </c>
      <c r="E498" s="305" t="s">
        <v>831</v>
      </c>
      <c r="F498" s="306" t="s">
        <v>42</v>
      </c>
      <c r="G498" s="306" t="s">
        <v>2493</v>
      </c>
      <c r="H498" s="306" t="s">
        <v>693</v>
      </c>
      <c r="I498" s="306" t="s">
        <v>2502</v>
      </c>
      <c r="J498" s="304" t="s">
        <v>97</v>
      </c>
      <c r="K498" s="309">
        <v>43388</v>
      </c>
      <c r="L498" s="309">
        <v>44180</v>
      </c>
      <c r="M498" s="306" t="s">
        <v>205</v>
      </c>
      <c r="N498" s="304" t="s">
        <v>90</v>
      </c>
      <c r="O498" s="306" t="s">
        <v>55</v>
      </c>
      <c r="P498" s="304">
        <v>1</v>
      </c>
      <c r="Q498" s="304">
        <v>1</v>
      </c>
      <c r="R498" s="304">
        <v>1</v>
      </c>
      <c r="S498" s="308">
        <v>1</v>
      </c>
    </row>
    <row r="499" spans="1:19" ht="84">
      <c r="A499" s="303">
        <v>494</v>
      </c>
      <c r="B499" s="304">
        <v>718</v>
      </c>
      <c r="C499" s="305" t="s">
        <v>288</v>
      </c>
      <c r="D499" s="306" t="s">
        <v>724</v>
      </c>
      <c r="E499" s="305" t="s">
        <v>831</v>
      </c>
      <c r="F499" s="306" t="s">
        <v>42</v>
      </c>
      <c r="G499" s="306" t="s">
        <v>2503</v>
      </c>
      <c r="H499" s="306" t="s">
        <v>646</v>
      </c>
      <c r="I499" s="306" t="s">
        <v>2504</v>
      </c>
      <c r="J499" s="304" t="s">
        <v>87</v>
      </c>
      <c r="K499" s="307">
        <v>43388</v>
      </c>
      <c r="L499" s="309">
        <v>43819</v>
      </c>
      <c r="M499" s="306" t="s">
        <v>221</v>
      </c>
      <c r="N499" s="304" t="s">
        <v>90</v>
      </c>
      <c r="O499" s="306" t="s">
        <v>55</v>
      </c>
      <c r="P499" s="304">
        <v>1</v>
      </c>
      <c r="Q499" s="304">
        <v>1</v>
      </c>
      <c r="R499" s="304">
        <v>1</v>
      </c>
      <c r="S499" s="308">
        <v>1</v>
      </c>
    </row>
    <row r="500" spans="1:19" ht="108">
      <c r="A500" s="303">
        <v>495</v>
      </c>
      <c r="B500" s="304">
        <v>719</v>
      </c>
      <c r="C500" s="305" t="s">
        <v>288</v>
      </c>
      <c r="D500" s="306" t="s">
        <v>724</v>
      </c>
      <c r="E500" s="305" t="s">
        <v>831</v>
      </c>
      <c r="F500" s="306" t="s">
        <v>42</v>
      </c>
      <c r="G500" s="306" t="s">
        <v>2503</v>
      </c>
      <c r="H500" s="310" t="s">
        <v>652</v>
      </c>
      <c r="I500" s="306" t="s">
        <v>2505</v>
      </c>
      <c r="J500" s="304" t="s">
        <v>87</v>
      </c>
      <c r="K500" s="307">
        <v>43388</v>
      </c>
      <c r="L500" s="309">
        <v>43753</v>
      </c>
      <c r="M500" s="306" t="s">
        <v>205</v>
      </c>
      <c r="N500" s="304" t="s">
        <v>90</v>
      </c>
      <c r="O500" s="306" t="s">
        <v>55</v>
      </c>
      <c r="P500" s="304">
        <v>1</v>
      </c>
      <c r="Q500" s="304">
        <v>1</v>
      </c>
      <c r="R500" s="304">
        <v>1</v>
      </c>
      <c r="S500" s="308">
        <v>1</v>
      </c>
    </row>
    <row r="501" spans="1:19" ht="96">
      <c r="A501" s="303">
        <v>496</v>
      </c>
      <c r="B501" s="304">
        <v>720</v>
      </c>
      <c r="C501" s="305" t="s">
        <v>288</v>
      </c>
      <c r="D501" s="306" t="s">
        <v>724</v>
      </c>
      <c r="E501" s="305" t="s">
        <v>831</v>
      </c>
      <c r="F501" s="306" t="s">
        <v>42</v>
      </c>
      <c r="G501" s="306" t="s">
        <v>2503</v>
      </c>
      <c r="H501" s="306" t="s">
        <v>2506</v>
      </c>
      <c r="I501" s="306" t="s">
        <v>2507</v>
      </c>
      <c r="J501" s="304" t="s">
        <v>87</v>
      </c>
      <c r="K501" s="307">
        <v>43388</v>
      </c>
      <c r="L501" s="309">
        <v>43819</v>
      </c>
      <c r="M501" s="306" t="s">
        <v>205</v>
      </c>
      <c r="N501" s="304" t="s">
        <v>90</v>
      </c>
      <c r="O501" s="306" t="s">
        <v>55</v>
      </c>
      <c r="P501" s="304">
        <v>1</v>
      </c>
      <c r="Q501" s="304">
        <v>1</v>
      </c>
      <c r="R501" s="304">
        <v>1</v>
      </c>
      <c r="S501" s="308">
        <v>1</v>
      </c>
    </row>
    <row r="502" spans="1:19" ht="120">
      <c r="A502" s="303">
        <v>497</v>
      </c>
      <c r="B502" s="304">
        <v>721</v>
      </c>
      <c r="C502" s="305" t="s">
        <v>288</v>
      </c>
      <c r="D502" s="306" t="s">
        <v>724</v>
      </c>
      <c r="E502" s="305" t="s">
        <v>831</v>
      </c>
      <c r="F502" s="306" t="s">
        <v>42</v>
      </c>
      <c r="G502" s="306" t="s">
        <v>2503</v>
      </c>
      <c r="H502" s="306" t="s">
        <v>660</v>
      </c>
      <c r="I502" s="306" t="s">
        <v>2508</v>
      </c>
      <c r="J502" s="304" t="s">
        <v>87</v>
      </c>
      <c r="K502" s="307">
        <v>43388</v>
      </c>
      <c r="L502" s="309">
        <v>43819</v>
      </c>
      <c r="M502" s="306" t="s">
        <v>89</v>
      </c>
      <c r="N502" s="304" t="s">
        <v>90</v>
      </c>
      <c r="O502" s="306" t="s">
        <v>55</v>
      </c>
      <c r="P502" s="304">
        <v>1</v>
      </c>
      <c r="Q502" s="304">
        <v>1</v>
      </c>
      <c r="R502" s="304">
        <v>1</v>
      </c>
      <c r="S502" s="308">
        <v>1</v>
      </c>
    </row>
    <row r="503" spans="1:19" ht="144">
      <c r="A503" s="303">
        <v>498</v>
      </c>
      <c r="B503" s="304">
        <v>722</v>
      </c>
      <c r="C503" s="305" t="s">
        <v>288</v>
      </c>
      <c r="D503" s="306" t="s">
        <v>724</v>
      </c>
      <c r="E503" s="305" t="s">
        <v>831</v>
      </c>
      <c r="F503" s="306" t="s">
        <v>42</v>
      </c>
      <c r="G503" s="306" t="s">
        <v>2503</v>
      </c>
      <c r="H503" s="306" t="s">
        <v>664</v>
      </c>
      <c r="I503" s="306" t="s">
        <v>2509</v>
      </c>
      <c r="J503" s="304" t="s">
        <v>87</v>
      </c>
      <c r="K503" s="307">
        <v>43753</v>
      </c>
      <c r="L503" s="307">
        <v>43617</v>
      </c>
      <c r="M503" s="306" t="s">
        <v>221</v>
      </c>
      <c r="N503" s="304" t="s">
        <v>90</v>
      </c>
      <c r="O503" s="306" t="s">
        <v>51</v>
      </c>
      <c r="P503" s="304">
        <v>1</v>
      </c>
      <c r="Q503" s="304">
        <v>1</v>
      </c>
      <c r="R503" s="304">
        <v>1</v>
      </c>
      <c r="S503" s="308">
        <v>1</v>
      </c>
    </row>
    <row r="504" spans="1:19" ht="204">
      <c r="A504" s="303">
        <v>499</v>
      </c>
      <c r="B504" s="304">
        <v>723</v>
      </c>
      <c r="C504" s="305" t="s">
        <v>288</v>
      </c>
      <c r="D504" s="306" t="s">
        <v>724</v>
      </c>
      <c r="E504" s="305" t="s">
        <v>831</v>
      </c>
      <c r="F504" s="306" t="s">
        <v>42</v>
      </c>
      <c r="G504" s="306" t="s">
        <v>2503</v>
      </c>
      <c r="H504" s="306" t="s">
        <v>671</v>
      </c>
      <c r="I504" s="306" t="s">
        <v>2510</v>
      </c>
      <c r="J504" s="304" t="s">
        <v>87</v>
      </c>
      <c r="K504" s="307">
        <v>43388</v>
      </c>
      <c r="L504" s="309">
        <v>45646</v>
      </c>
      <c r="M504" s="306" t="s">
        <v>205</v>
      </c>
      <c r="N504" s="304" t="s">
        <v>96</v>
      </c>
      <c r="O504" s="306" t="s">
        <v>55</v>
      </c>
      <c r="P504" s="304">
        <v>1</v>
      </c>
      <c r="Q504" s="304">
        <v>1</v>
      </c>
      <c r="R504" s="304">
        <v>1</v>
      </c>
      <c r="S504" s="308">
        <v>1</v>
      </c>
    </row>
    <row r="505" spans="1:19" ht="84">
      <c r="A505" s="303">
        <v>500</v>
      </c>
      <c r="B505" s="304">
        <v>724</v>
      </c>
      <c r="C505" s="305" t="s">
        <v>288</v>
      </c>
      <c r="D505" s="306" t="s">
        <v>724</v>
      </c>
      <c r="E505" s="305" t="s">
        <v>831</v>
      </c>
      <c r="F505" s="306" t="s">
        <v>42</v>
      </c>
      <c r="G505" s="306" t="s">
        <v>2503</v>
      </c>
      <c r="H505" s="306" t="s">
        <v>676</v>
      </c>
      <c r="I505" s="306" t="s">
        <v>2511</v>
      </c>
      <c r="J505" s="304" t="s">
        <v>87</v>
      </c>
      <c r="K505" s="307">
        <v>43388</v>
      </c>
      <c r="L505" s="309">
        <v>43819</v>
      </c>
      <c r="M505" s="306" t="s">
        <v>205</v>
      </c>
      <c r="N505" s="304" t="s">
        <v>90</v>
      </c>
      <c r="O505" s="306" t="s">
        <v>51</v>
      </c>
      <c r="P505" s="304">
        <v>1</v>
      </c>
      <c r="Q505" s="304">
        <v>1</v>
      </c>
      <c r="R505" s="304">
        <v>1</v>
      </c>
      <c r="S505" s="308">
        <v>1</v>
      </c>
    </row>
    <row r="506" spans="1:19" ht="108">
      <c r="A506" s="303">
        <v>501</v>
      </c>
      <c r="B506" s="304">
        <v>725</v>
      </c>
      <c r="C506" s="305" t="s">
        <v>288</v>
      </c>
      <c r="D506" s="306" t="s">
        <v>724</v>
      </c>
      <c r="E506" s="305" t="s">
        <v>831</v>
      </c>
      <c r="F506" s="306" t="s">
        <v>42</v>
      </c>
      <c r="G506" s="306" t="s">
        <v>2503</v>
      </c>
      <c r="H506" s="306" t="s">
        <v>684</v>
      </c>
      <c r="I506" s="306" t="s">
        <v>2512</v>
      </c>
      <c r="J506" s="304" t="s">
        <v>87</v>
      </c>
      <c r="K506" s="307">
        <v>43388</v>
      </c>
      <c r="L506" s="307">
        <v>43556</v>
      </c>
      <c r="M506" s="306" t="s">
        <v>89</v>
      </c>
      <c r="N506" s="304" t="s">
        <v>90</v>
      </c>
      <c r="O506" s="306" t="s">
        <v>51</v>
      </c>
      <c r="P506" s="304">
        <v>1</v>
      </c>
      <c r="Q506" s="304">
        <v>1</v>
      </c>
      <c r="R506" s="304">
        <v>1</v>
      </c>
      <c r="S506" s="308">
        <v>1</v>
      </c>
    </row>
    <row r="507" spans="1:19" ht="96">
      <c r="A507" s="303">
        <v>502</v>
      </c>
      <c r="B507" s="304">
        <v>726</v>
      </c>
      <c r="C507" s="305" t="s">
        <v>288</v>
      </c>
      <c r="D507" s="306" t="s">
        <v>724</v>
      </c>
      <c r="E507" s="305" t="s">
        <v>831</v>
      </c>
      <c r="F507" s="306" t="s">
        <v>42</v>
      </c>
      <c r="G507" s="306" t="s">
        <v>2503</v>
      </c>
      <c r="H507" s="306" t="s">
        <v>688</v>
      </c>
      <c r="I507" s="306" t="s">
        <v>2513</v>
      </c>
      <c r="J507" s="304" t="s">
        <v>97</v>
      </c>
      <c r="K507" s="307">
        <v>43388</v>
      </c>
      <c r="L507" s="307">
        <v>44531</v>
      </c>
      <c r="M507" s="306" t="s">
        <v>205</v>
      </c>
      <c r="N507" s="304" t="s">
        <v>90</v>
      </c>
      <c r="O507" s="306" t="s">
        <v>55</v>
      </c>
      <c r="P507" s="304">
        <v>1</v>
      </c>
      <c r="Q507" s="304">
        <v>1</v>
      </c>
      <c r="R507" s="304">
        <v>1</v>
      </c>
      <c r="S507" s="308">
        <v>1</v>
      </c>
    </row>
    <row r="508" spans="1:19" ht="120">
      <c r="A508" s="303">
        <v>503</v>
      </c>
      <c r="B508" s="304">
        <v>727</v>
      </c>
      <c r="C508" s="305" t="s">
        <v>288</v>
      </c>
      <c r="D508" s="306" t="s">
        <v>724</v>
      </c>
      <c r="E508" s="305" t="s">
        <v>289</v>
      </c>
      <c r="F508" s="306" t="s">
        <v>36</v>
      </c>
      <c r="G508" s="306" t="s">
        <v>36</v>
      </c>
      <c r="H508" s="306" t="s">
        <v>1094</v>
      </c>
      <c r="I508" s="306" t="s">
        <v>2514</v>
      </c>
      <c r="J508" s="304" t="s">
        <v>87</v>
      </c>
      <c r="K508" s="307">
        <v>43388</v>
      </c>
      <c r="L508" s="309">
        <v>45646</v>
      </c>
      <c r="M508" s="306" t="s">
        <v>2515</v>
      </c>
      <c r="N508" s="304" t="s">
        <v>90</v>
      </c>
      <c r="O508" s="306" t="s">
        <v>65</v>
      </c>
      <c r="P508" s="304">
        <v>1</v>
      </c>
      <c r="Q508" s="304">
        <v>1</v>
      </c>
      <c r="R508" s="304">
        <v>1</v>
      </c>
      <c r="S508" s="308">
        <v>1</v>
      </c>
    </row>
    <row r="509" spans="1:19" ht="84">
      <c r="A509" s="303">
        <v>504</v>
      </c>
      <c r="B509" s="304">
        <v>728</v>
      </c>
      <c r="C509" s="305" t="s">
        <v>288</v>
      </c>
      <c r="D509" s="306" t="s">
        <v>724</v>
      </c>
      <c r="E509" s="305" t="s">
        <v>289</v>
      </c>
      <c r="F509" s="306" t="s">
        <v>36</v>
      </c>
      <c r="G509" s="306" t="s">
        <v>36</v>
      </c>
      <c r="H509" s="306" t="s">
        <v>1099</v>
      </c>
      <c r="I509" s="306" t="s">
        <v>1100</v>
      </c>
      <c r="J509" s="304" t="s">
        <v>87</v>
      </c>
      <c r="K509" s="307">
        <v>43388</v>
      </c>
      <c r="L509" s="309">
        <v>43819</v>
      </c>
      <c r="M509" s="306" t="s">
        <v>2516</v>
      </c>
      <c r="N509" s="304" t="s">
        <v>90</v>
      </c>
      <c r="O509" s="306" t="s">
        <v>55</v>
      </c>
      <c r="P509" s="304">
        <v>1</v>
      </c>
      <c r="Q509" s="304">
        <v>1</v>
      </c>
      <c r="R509" s="304">
        <v>1</v>
      </c>
      <c r="S509" s="308">
        <v>1</v>
      </c>
    </row>
    <row r="510" spans="1:19" ht="192">
      <c r="A510" s="303">
        <v>505</v>
      </c>
      <c r="B510" s="304">
        <v>729</v>
      </c>
      <c r="C510" s="305" t="s">
        <v>288</v>
      </c>
      <c r="D510" s="306" t="s">
        <v>724</v>
      </c>
      <c r="E510" s="305" t="s">
        <v>289</v>
      </c>
      <c r="F510" s="306" t="s">
        <v>36</v>
      </c>
      <c r="G510" s="306" t="s">
        <v>36</v>
      </c>
      <c r="H510" s="306" t="s">
        <v>1101</v>
      </c>
      <c r="I510" s="306" t="s">
        <v>2517</v>
      </c>
      <c r="J510" s="304" t="s">
        <v>87</v>
      </c>
      <c r="K510" s="307">
        <v>43388</v>
      </c>
      <c r="L510" s="309">
        <v>43819</v>
      </c>
      <c r="M510" s="306" t="s">
        <v>2518</v>
      </c>
      <c r="N510" s="304" t="s">
        <v>90</v>
      </c>
      <c r="O510" s="306" t="s">
        <v>65</v>
      </c>
      <c r="P510" s="304">
        <v>1</v>
      </c>
      <c r="Q510" s="304">
        <v>1</v>
      </c>
      <c r="R510" s="304">
        <v>1</v>
      </c>
      <c r="S510" s="308">
        <v>1</v>
      </c>
    </row>
    <row r="511" spans="1:19" ht="132">
      <c r="A511" s="303">
        <v>506</v>
      </c>
      <c r="B511" s="304">
        <v>730</v>
      </c>
      <c r="C511" s="305" t="s">
        <v>288</v>
      </c>
      <c r="D511" s="306" t="s">
        <v>724</v>
      </c>
      <c r="E511" s="305" t="s">
        <v>289</v>
      </c>
      <c r="F511" s="306" t="s">
        <v>36</v>
      </c>
      <c r="G511" s="306" t="s">
        <v>36</v>
      </c>
      <c r="H511" s="306" t="s">
        <v>1103</v>
      </c>
      <c r="I511" s="306" t="s">
        <v>2519</v>
      </c>
      <c r="J511" s="304" t="s">
        <v>87</v>
      </c>
      <c r="K511" s="307">
        <v>43101</v>
      </c>
      <c r="L511" s="307">
        <v>43585</v>
      </c>
      <c r="M511" s="306" t="s">
        <v>221</v>
      </c>
      <c r="N511" s="304" t="s">
        <v>90</v>
      </c>
      <c r="O511" s="306" t="s">
        <v>65</v>
      </c>
      <c r="P511" s="304">
        <v>1</v>
      </c>
      <c r="Q511" s="304">
        <v>1</v>
      </c>
      <c r="R511" s="304">
        <v>1</v>
      </c>
      <c r="S511" s="308">
        <v>1</v>
      </c>
    </row>
    <row r="512" spans="1:19" ht="132">
      <c r="A512" s="303">
        <v>507</v>
      </c>
      <c r="B512" s="304">
        <v>731</v>
      </c>
      <c r="C512" s="305" t="s">
        <v>288</v>
      </c>
      <c r="D512" s="306" t="s">
        <v>724</v>
      </c>
      <c r="E512" s="305" t="s">
        <v>289</v>
      </c>
      <c r="F512" s="306" t="s">
        <v>36</v>
      </c>
      <c r="G512" s="306" t="s">
        <v>36</v>
      </c>
      <c r="H512" s="306" t="s">
        <v>1105</v>
      </c>
      <c r="I512" s="306" t="s">
        <v>2520</v>
      </c>
      <c r="J512" s="304" t="s">
        <v>87</v>
      </c>
      <c r="K512" s="307">
        <v>43101</v>
      </c>
      <c r="L512" s="309">
        <v>43819</v>
      </c>
      <c r="M512" s="306" t="s">
        <v>2521</v>
      </c>
      <c r="N512" s="304" t="s">
        <v>90</v>
      </c>
      <c r="O512" s="306" t="s">
        <v>65</v>
      </c>
      <c r="P512" s="304">
        <v>1</v>
      </c>
      <c r="Q512" s="304">
        <v>1</v>
      </c>
      <c r="R512" s="304">
        <v>1</v>
      </c>
      <c r="S512" s="308">
        <v>1</v>
      </c>
    </row>
    <row r="513" spans="1:19" ht="144">
      <c r="A513" s="303">
        <v>508</v>
      </c>
      <c r="B513" s="304">
        <v>732</v>
      </c>
      <c r="C513" s="305" t="s">
        <v>288</v>
      </c>
      <c r="D513" s="306" t="s">
        <v>724</v>
      </c>
      <c r="E513" s="305" t="s">
        <v>289</v>
      </c>
      <c r="F513" s="306" t="s">
        <v>36</v>
      </c>
      <c r="G513" s="306" t="s">
        <v>36</v>
      </c>
      <c r="H513" s="306" t="s">
        <v>1108</v>
      </c>
      <c r="I513" s="306" t="s">
        <v>2522</v>
      </c>
      <c r="J513" s="304" t="s">
        <v>87</v>
      </c>
      <c r="K513" s="307">
        <v>43466</v>
      </c>
      <c r="L513" s="309">
        <v>45646</v>
      </c>
      <c r="M513" s="306" t="s">
        <v>2523</v>
      </c>
      <c r="N513" s="304" t="s">
        <v>96</v>
      </c>
      <c r="O513" s="306" t="s">
        <v>65</v>
      </c>
      <c r="P513" s="304">
        <v>1</v>
      </c>
      <c r="Q513" s="304">
        <v>1</v>
      </c>
      <c r="R513" s="304">
        <v>1</v>
      </c>
      <c r="S513" s="308">
        <v>1</v>
      </c>
    </row>
    <row r="514" spans="1:19" ht="108">
      <c r="A514" s="303">
        <v>509</v>
      </c>
      <c r="B514" s="304">
        <v>733</v>
      </c>
      <c r="C514" s="305" t="s">
        <v>288</v>
      </c>
      <c r="D514" s="306" t="s">
        <v>724</v>
      </c>
      <c r="E514" s="305" t="s">
        <v>289</v>
      </c>
      <c r="F514" s="306" t="s">
        <v>36</v>
      </c>
      <c r="G514" s="306" t="s">
        <v>36</v>
      </c>
      <c r="H514" s="306" t="s">
        <v>1110</v>
      </c>
      <c r="I514" s="306" t="s">
        <v>1111</v>
      </c>
      <c r="J514" s="304" t="s">
        <v>87</v>
      </c>
      <c r="K514" s="307">
        <v>43466</v>
      </c>
      <c r="L514" s="309">
        <v>45646</v>
      </c>
      <c r="M514" s="306" t="s">
        <v>2523</v>
      </c>
      <c r="N514" s="304" t="s">
        <v>96</v>
      </c>
      <c r="O514" s="306" t="s">
        <v>65</v>
      </c>
      <c r="P514" s="304">
        <v>1</v>
      </c>
      <c r="Q514" s="304">
        <v>1</v>
      </c>
      <c r="R514" s="304">
        <v>1</v>
      </c>
      <c r="S514" s="308">
        <v>1</v>
      </c>
    </row>
    <row r="515" spans="1:19" ht="156">
      <c r="A515" s="303">
        <v>510</v>
      </c>
      <c r="B515" s="304">
        <v>734</v>
      </c>
      <c r="C515" s="305" t="s">
        <v>288</v>
      </c>
      <c r="D515" s="306" t="s">
        <v>724</v>
      </c>
      <c r="E515" s="305" t="s">
        <v>289</v>
      </c>
      <c r="F515" s="306" t="s">
        <v>36</v>
      </c>
      <c r="G515" s="306" t="s">
        <v>36</v>
      </c>
      <c r="H515" s="306" t="s">
        <v>1112</v>
      </c>
      <c r="I515" s="306" t="s">
        <v>2524</v>
      </c>
      <c r="J515" s="304" t="s">
        <v>87</v>
      </c>
      <c r="K515" s="307">
        <v>43101</v>
      </c>
      <c r="L515" s="309">
        <v>43830</v>
      </c>
      <c r="M515" s="306" t="s">
        <v>221</v>
      </c>
      <c r="N515" s="304" t="s">
        <v>90</v>
      </c>
      <c r="O515" s="306" t="s">
        <v>65</v>
      </c>
      <c r="P515" s="304">
        <v>1</v>
      </c>
      <c r="Q515" s="304">
        <v>1</v>
      </c>
      <c r="R515" s="304">
        <v>1</v>
      </c>
      <c r="S515" s="308">
        <v>1</v>
      </c>
    </row>
    <row r="516" spans="1:19" ht="108">
      <c r="A516" s="303">
        <v>511</v>
      </c>
      <c r="B516" s="304">
        <v>735</v>
      </c>
      <c r="C516" s="305" t="s">
        <v>288</v>
      </c>
      <c r="D516" s="306" t="s">
        <v>724</v>
      </c>
      <c r="E516" s="305" t="s">
        <v>289</v>
      </c>
      <c r="F516" s="306" t="s">
        <v>36</v>
      </c>
      <c r="G516" s="306" t="s">
        <v>36</v>
      </c>
      <c r="H516" s="306" t="s">
        <v>1116</v>
      </c>
      <c r="I516" s="306" t="s">
        <v>2525</v>
      </c>
      <c r="J516" s="304" t="s">
        <v>87</v>
      </c>
      <c r="K516" s="307">
        <v>43466</v>
      </c>
      <c r="L516" s="309">
        <v>45655</v>
      </c>
      <c r="M516" s="306" t="s">
        <v>205</v>
      </c>
      <c r="N516" s="304" t="s">
        <v>96</v>
      </c>
      <c r="O516" s="306" t="s">
        <v>65</v>
      </c>
      <c r="P516" s="304">
        <v>1</v>
      </c>
      <c r="Q516" s="304">
        <v>1</v>
      </c>
      <c r="R516" s="304">
        <v>1</v>
      </c>
      <c r="S516" s="308">
        <v>1</v>
      </c>
    </row>
    <row r="517" spans="1:19" ht="144">
      <c r="A517" s="303">
        <v>512</v>
      </c>
      <c r="B517" s="304">
        <v>736</v>
      </c>
      <c r="C517" s="305" t="s">
        <v>288</v>
      </c>
      <c r="D517" s="306" t="s">
        <v>724</v>
      </c>
      <c r="E517" s="305" t="s">
        <v>289</v>
      </c>
      <c r="F517" s="306" t="s">
        <v>36</v>
      </c>
      <c r="G517" s="306" t="s">
        <v>36</v>
      </c>
      <c r="H517" s="306" t="s">
        <v>2526</v>
      </c>
      <c r="I517" s="306" t="s">
        <v>2527</v>
      </c>
      <c r="J517" s="304" t="s">
        <v>97</v>
      </c>
      <c r="K517" s="307">
        <v>43388</v>
      </c>
      <c r="L517" s="307">
        <v>44075</v>
      </c>
      <c r="M517" s="306" t="s">
        <v>221</v>
      </c>
      <c r="N517" s="304" t="s">
        <v>90</v>
      </c>
      <c r="O517" s="306" t="s">
        <v>65</v>
      </c>
      <c r="P517" s="304">
        <v>1</v>
      </c>
      <c r="Q517" s="304">
        <v>1</v>
      </c>
      <c r="R517" s="304">
        <v>1</v>
      </c>
      <c r="S517" s="308">
        <v>1</v>
      </c>
    </row>
    <row r="518" spans="1:19" ht="180">
      <c r="A518" s="303">
        <v>513</v>
      </c>
      <c r="B518" s="304">
        <v>737</v>
      </c>
      <c r="C518" s="305" t="s">
        <v>288</v>
      </c>
      <c r="D518" s="306" t="s">
        <v>724</v>
      </c>
      <c r="E518" s="305" t="s">
        <v>289</v>
      </c>
      <c r="F518" s="306" t="s">
        <v>36</v>
      </c>
      <c r="G518" s="306" t="s">
        <v>36</v>
      </c>
      <c r="H518" s="306" t="s">
        <v>1131</v>
      </c>
      <c r="I518" s="306" t="s">
        <v>2528</v>
      </c>
      <c r="J518" s="304" t="s">
        <v>97</v>
      </c>
      <c r="K518" s="307">
        <v>43388</v>
      </c>
      <c r="L518" s="307">
        <v>43891</v>
      </c>
      <c r="M518" s="306" t="s">
        <v>221</v>
      </c>
      <c r="N518" s="304" t="s">
        <v>90</v>
      </c>
      <c r="O518" s="306" t="s">
        <v>65</v>
      </c>
      <c r="P518" s="304">
        <v>1</v>
      </c>
      <c r="Q518" s="304">
        <v>1</v>
      </c>
      <c r="R518" s="304">
        <v>1</v>
      </c>
      <c r="S518" s="308">
        <v>1</v>
      </c>
    </row>
    <row r="519" spans="1:19" ht="409.6">
      <c r="A519" s="303">
        <v>514</v>
      </c>
      <c r="B519" s="304">
        <v>738</v>
      </c>
      <c r="C519" s="305" t="s">
        <v>288</v>
      </c>
      <c r="D519" s="306" t="s">
        <v>724</v>
      </c>
      <c r="E519" s="305" t="s">
        <v>501</v>
      </c>
      <c r="F519" s="306" t="s">
        <v>37</v>
      </c>
      <c r="G519" s="306" t="s">
        <v>2529</v>
      </c>
      <c r="H519" s="306" t="s">
        <v>1184</v>
      </c>
      <c r="I519" s="306" t="s">
        <v>2530</v>
      </c>
      <c r="J519" s="304" t="s">
        <v>87</v>
      </c>
      <c r="K519" s="307">
        <v>43388</v>
      </c>
      <c r="L519" s="309">
        <v>45646</v>
      </c>
      <c r="M519" s="306" t="s">
        <v>207</v>
      </c>
      <c r="N519" s="304" t="s">
        <v>90</v>
      </c>
      <c r="O519" s="306" t="s">
        <v>57</v>
      </c>
      <c r="P519" s="304">
        <v>1</v>
      </c>
      <c r="Q519" s="304">
        <v>1</v>
      </c>
      <c r="R519" s="304">
        <v>1</v>
      </c>
      <c r="S519" s="308">
        <v>1</v>
      </c>
    </row>
    <row r="520" spans="1:19" ht="409.6">
      <c r="A520" s="303">
        <v>515</v>
      </c>
      <c r="B520" s="304">
        <v>739</v>
      </c>
      <c r="C520" s="305" t="s">
        <v>288</v>
      </c>
      <c r="D520" s="306" t="s">
        <v>724</v>
      </c>
      <c r="E520" s="305" t="s">
        <v>501</v>
      </c>
      <c r="F520" s="306" t="s">
        <v>37</v>
      </c>
      <c r="G520" s="306" t="s">
        <v>2529</v>
      </c>
      <c r="H520" s="306" t="s">
        <v>1192</v>
      </c>
      <c r="I520" s="306" t="s">
        <v>2532</v>
      </c>
      <c r="J520" s="304" t="s">
        <v>87</v>
      </c>
      <c r="K520" s="307">
        <v>43388</v>
      </c>
      <c r="L520" s="309">
        <v>45646</v>
      </c>
      <c r="M520" s="306" t="s">
        <v>214</v>
      </c>
      <c r="N520" s="304" t="s">
        <v>90</v>
      </c>
      <c r="O520" s="306" t="s">
        <v>57</v>
      </c>
      <c r="P520" s="304">
        <v>1</v>
      </c>
      <c r="Q520" s="304">
        <v>1</v>
      </c>
      <c r="R520" s="304">
        <v>1</v>
      </c>
      <c r="S520" s="308">
        <v>1</v>
      </c>
    </row>
    <row r="521" spans="1:19" ht="180">
      <c r="A521" s="303">
        <v>516</v>
      </c>
      <c r="B521" s="304">
        <v>740</v>
      </c>
      <c r="C521" s="305" t="s">
        <v>288</v>
      </c>
      <c r="D521" s="306" t="s">
        <v>724</v>
      </c>
      <c r="E521" s="305" t="s">
        <v>501</v>
      </c>
      <c r="F521" s="306" t="s">
        <v>37</v>
      </c>
      <c r="G521" s="306" t="s">
        <v>2529</v>
      </c>
      <c r="H521" s="306" t="s">
        <v>1196</v>
      </c>
      <c r="I521" s="306" t="s">
        <v>2533</v>
      </c>
      <c r="J521" s="304" t="s">
        <v>87</v>
      </c>
      <c r="K521" s="307">
        <v>43388</v>
      </c>
      <c r="L521" s="309">
        <v>44185</v>
      </c>
      <c r="M521" s="306" t="s">
        <v>221</v>
      </c>
      <c r="N521" s="304" t="s">
        <v>90</v>
      </c>
      <c r="O521" s="306" t="s">
        <v>57</v>
      </c>
      <c r="P521" s="304">
        <v>1</v>
      </c>
      <c r="Q521" s="304">
        <v>1</v>
      </c>
      <c r="R521" s="304">
        <v>1</v>
      </c>
      <c r="S521" s="308">
        <v>1</v>
      </c>
    </row>
    <row r="522" spans="1:19" ht="409.6">
      <c r="A522" s="303">
        <v>517</v>
      </c>
      <c r="B522" s="304">
        <v>741</v>
      </c>
      <c r="C522" s="305" t="s">
        <v>288</v>
      </c>
      <c r="D522" s="306" t="s">
        <v>724</v>
      </c>
      <c r="E522" s="305" t="s">
        <v>501</v>
      </c>
      <c r="F522" s="306" t="s">
        <v>37</v>
      </c>
      <c r="G522" s="306" t="s">
        <v>2534</v>
      </c>
      <c r="H522" s="306" t="s">
        <v>2531</v>
      </c>
      <c r="I522" s="306" t="s">
        <v>2535</v>
      </c>
      <c r="J522" s="304" t="s">
        <v>87</v>
      </c>
      <c r="K522" s="307">
        <v>43388</v>
      </c>
      <c r="L522" s="309">
        <v>45646</v>
      </c>
      <c r="M522" s="306" t="s">
        <v>205</v>
      </c>
      <c r="N522" s="304" t="s">
        <v>96</v>
      </c>
      <c r="O522" s="306" t="s">
        <v>55</v>
      </c>
      <c r="P522" s="304">
        <v>1</v>
      </c>
      <c r="Q522" s="304">
        <v>1</v>
      </c>
      <c r="R522" s="304">
        <v>1</v>
      </c>
      <c r="S522" s="308">
        <v>1</v>
      </c>
    </row>
    <row r="523" spans="1:19" ht="180">
      <c r="A523" s="303">
        <v>518</v>
      </c>
      <c r="B523" s="304">
        <v>742</v>
      </c>
      <c r="C523" s="305" t="s">
        <v>288</v>
      </c>
      <c r="D523" s="306" t="s">
        <v>724</v>
      </c>
      <c r="E523" s="305" t="s">
        <v>501</v>
      </c>
      <c r="F523" s="306" t="s">
        <v>37</v>
      </c>
      <c r="G523" s="306" t="s">
        <v>2534</v>
      </c>
      <c r="H523" s="306" t="s">
        <v>2536</v>
      </c>
      <c r="I523" s="306" t="s">
        <v>2537</v>
      </c>
      <c r="J523" s="304" t="s">
        <v>87</v>
      </c>
      <c r="K523" s="307">
        <v>43388</v>
      </c>
      <c r="L523" s="309">
        <v>45646</v>
      </c>
      <c r="M523" s="306" t="s">
        <v>211</v>
      </c>
      <c r="N523" s="304" t="s">
        <v>96</v>
      </c>
      <c r="O523" s="306" t="s">
        <v>57</v>
      </c>
      <c r="P523" s="304">
        <v>1</v>
      </c>
      <c r="Q523" s="304">
        <v>1</v>
      </c>
      <c r="R523" s="304">
        <v>1</v>
      </c>
      <c r="S523" s="308">
        <v>1</v>
      </c>
    </row>
    <row r="524" spans="1:19" ht="262">
      <c r="A524" s="303">
        <v>519</v>
      </c>
      <c r="B524" s="304">
        <v>743</v>
      </c>
      <c r="C524" s="305" t="s">
        <v>288</v>
      </c>
      <c r="D524" s="306" t="s">
        <v>724</v>
      </c>
      <c r="E524" s="305" t="s">
        <v>501</v>
      </c>
      <c r="F524" s="306" t="s">
        <v>37</v>
      </c>
      <c r="G524" s="306" t="s">
        <v>2534</v>
      </c>
      <c r="H524" s="306" t="s">
        <v>1206</v>
      </c>
      <c r="I524" s="306" t="s">
        <v>2538</v>
      </c>
      <c r="J524" s="304" t="s">
        <v>87</v>
      </c>
      <c r="K524" s="307">
        <v>43388</v>
      </c>
      <c r="L524" s="309">
        <v>45646</v>
      </c>
      <c r="M524" s="306" t="s">
        <v>211</v>
      </c>
      <c r="N524" s="304" t="s">
        <v>96</v>
      </c>
      <c r="O524" s="306" t="s">
        <v>57</v>
      </c>
      <c r="P524" s="304">
        <v>1</v>
      </c>
      <c r="Q524" s="304">
        <v>1</v>
      </c>
      <c r="R524" s="304">
        <v>1</v>
      </c>
      <c r="S524" s="308">
        <v>1</v>
      </c>
    </row>
    <row r="525" spans="1:19" ht="273">
      <c r="A525" s="303">
        <v>520</v>
      </c>
      <c r="B525" s="304">
        <v>744</v>
      </c>
      <c r="C525" s="305" t="s">
        <v>288</v>
      </c>
      <c r="D525" s="306" t="s">
        <v>724</v>
      </c>
      <c r="E525" s="305" t="s">
        <v>501</v>
      </c>
      <c r="F525" s="306" t="s">
        <v>37</v>
      </c>
      <c r="G525" s="306" t="s">
        <v>2534</v>
      </c>
      <c r="H525" s="306" t="s">
        <v>2539</v>
      </c>
      <c r="I525" s="306" t="s">
        <v>2540</v>
      </c>
      <c r="J525" s="304" t="s">
        <v>87</v>
      </c>
      <c r="K525" s="307">
        <v>43388</v>
      </c>
      <c r="L525" s="309">
        <v>45646</v>
      </c>
      <c r="M525" s="306" t="s">
        <v>211</v>
      </c>
      <c r="N525" s="304" t="s">
        <v>96</v>
      </c>
      <c r="O525" s="306" t="s">
        <v>57</v>
      </c>
      <c r="P525" s="304">
        <v>1</v>
      </c>
      <c r="Q525" s="304">
        <v>1</v>
      </c>
      <c r="R525" s="304">
        <v>1</v>
      </c>
      <c r="S525" s="308">
        <v>1</v>
      </c>
    </row>
    <row r="526" spans="1:19" ht="96">
      <c r="A526" s="303">
        <v>521</v>
      </c>
      <c r="B526" s="304">
        <v>745</v>
      </c>
      <c r="C526" s="305" t="s">
        <v>720</v>
      </c>
      <c r="D526" s="306" t="s">
        <v>721</v>
      </c>
      <c r="E526" s="305" t="s">
        <v>733</v>
      </c>
      <c r="F526" s="306" t="s">
        <v>68</v>
      </c>
      <c r="G526" s="306" t="s">
        <v>2541</v>
      </c>
      <c r="H526" s="306" t="s">
        <v>2542</v>
      </c>
      <c r="I526" s="306" t="s">
        <v>2543</v>
      </c>
      <c r="J526" s="304" t="s">
        <v>87</v>
      </c>
      <c r="K526" s="307">
        <v>43374</v>
      </c>
      <c r="L526" s="309">
        <v>43830</v>
      </c>
      <c r="M526" s="306" t="s">
        <v>205</v>
      </c>
      <c r="N526" s="304" t="s">
        <v>90</v>
      </c>
      <c r="O526" s="306" t="s">
        <v>71</v>
      </c>
      <c r="P526" s="304">
        <v>1</v>
      </c>
      <c r="Q526" s="304">
        <v>1</v>
      </c>
      <c r="R526" s="304">
        <v>0</v>
      </c>
      <c r="S526" s="308">
        <v>1</v>
      </c>
    </row>
    <row r="527" spans="1:19" ht="108">
      <c r="A527" s="303">
        <v>522</v>
      </c>
      <c r="B527" s="304">
        <v>746</v>
      </c>
      <c r="C527" s="305" t="s">
        <v>720</v>
      </c>
      <c r="D527" s="306" t="s">
        <v>721</v>
      </c>
      <c r="E527" s="305" t="s">
        <v>733</v>
      </c>
      <c r="F527" s="306" t="s">
        <v>68</v>
      </c>
      <c r="G527" s="306" t="s">
        <v>2541</v>
      </c>
      <c r="H527" s="306" t="s">
        <v>2544</v>
      </c>
      <c r="I527" s="306" t="s">
        <v>2545</v>
      </c>
      <c r="J527" s="304" t="s">
        <v>87</v>
      </c>
      <c r="K527" s="307">
        <v>43374</v>
      </c>
      <c r="L527" s="309">
        <v>45657</v>
      </c>
      <c r="M527" s="306" t="s">
        <v>205</v>
      </c>
      <c r="N527" s="304" t="s">
        <v>90</v>
      </c>
      <c r="O527" s="306" t="s">
        <v>71</v>
      </c>
      <c r="P527" s="304">
        <v>1</v>
      </c>
      <c r="Q527" s="304">
        <v>1</v>
      </c>
      <c r="R527" s="304">
        <v>0</v>
      </c>
      <c r="S527" s="308">
        <v>1</v>
      </c>
    </row>
    <row r="528" spans="1:19" ht="48">
      <c r="A528" s="303">
        <v>523</v>
      </c>
      <c r="B528" s="304">
        <v>747</v>
      </c>
      <c r="C528" s="305" t="s">
        <v>720</v>
      </c>
      <c r="D528" s="306" t="s">
        <v>721</v>
      </c>
      <c r="E528" s="305" t="s">
        <v>733</v>
      </c>
      <c r="F528" s="306" t="s">
        <v>68</v>
      </c>
      <c r="G528" s="306" t="s">
        <v>2541</v>
      </c>
      <c r="H528" s="306" t="s">
        <v>2546</v>
      </c>
      <c r="I528" s="306" t="s">
        <v>756</v>
      </c>
      <c r="J528" s="304" t="s">
        <v>87</v>
      </c>
      <c r="K528" s="307">
        <v>43374</v>
      </c>
      <c r="L528" s="309">
        <v>43830</v>
      </c>
      <c r="M528" s="306" t="s">
        <v>89</v>
      </c>
      <c r="N528" s="304" t="s">
        <v>90</v>
      </c>
      <c r="O528" s="306" t="s">
        <v>71</v>
      </c>
      <c r="P528" s="304">
        <v>1</v>
      </c>
      <c r="Q528" s="304">
        <v>1</v>
      </c>
      <c r="R528" s="304">
        <v>0</v>
      </c>
      <c r="S528" s="308">
        <v>1</v>
      </c>
    </row>
    <row r="529" spans="1:19" ht="168">
      <c r="A529" s="303">
        <v>524</v>
      </c>
      <c r="B529" s="304">
        <v>748</v>
      </c>
      <c r="C529" s="305" t="s">
        <v>720</v>
      </c>
      <c r="D529" s="306" t="s">
        <v>721</v>
      </c>
      <c r="E529" s="305" t="s">
        <v>733</v>
      </c>
      <c r="F529" s="306" t="s">
        <v>68</v>
      </c>
      <c r="G529" s="306" t="s">
        <v>2541</v>
      </c>
      <c r="H529" s="306" t="s">
        <v>2547</v>
      </c>
      <c r="I529" s="306" t="s">
        <v>2548</v>
      </c>
      <c r="J529" s="304" t="s">
        <v>87</v>
      </c>
      <c r="K529" s="307">
        <v>43374</v>
      </c>
      <c r="L529" s="309">
        <v>45657</v>
      </c>
      <c r="M529" s="306" t="s">
        <v>205</v>
      </c>
      <c r="N529" s="304" t="s">
        <v>96</v>
      </c>
      <c r="O529" s="306" t="s">
        <v>71</v>
      </c>
      <c r="P529" s="304">
        <v>1</v>
      </c>
      <c r="Q529" s="304">
        <v>1</v>
      </c>
      <c r="R529" s="304">
        <v>0</v>
      </c>
      <c r="S529" s="308">
        <v>1</v>
      </c>
    </row>
    <row r="530" spans="1:19" ht="120">
      <c r="A530" s="303">
        <v>525</v>
      </c>
      <c r="B530" s="304">
        <v>749</v>
      </c>
      <c r="C530" s="305" t="s">
        <v>720</v>
      </c>
      <c r="D530" s="306" t="s">
        <v>721</v>
      </c>
      <c r="E530" s="305" t="s">
        <v>733</v>
      </c>
      <c r="F530" s="306" t="s">
        <v>68</v>
      </c>
      <c r="G530" s="306" t="s">
        <v>2541</v>
      </c>
      <c r="H530" s="306" t="s">
        <v>2549</v>
      </c>
      <c r="I530" s="306" t="s">
        <v>2550</v>
      </c>
      <c r="J530" s="304" t="s">
        <v>87</v>
      </c>
      <c r="K530" s="307">
        <v>43374</v>
      </c>
      <c r="L530" s="309">
        <v>43798</v>
      </c>
      <c r="M530" s="306" t="s">
        <v>89</v>
      </c>
      <c r="N530" s="304" t="s">
        <v>90</v>
      </c>
      <c r="O530" s="306" t="s">
        <v>71</v>
      </c>
      <c r="P530" s="304">
        <v>1</v>
      </c>
      <c r="Q530" s="304">
        <v>1</v>
      </c>
      <c r="R530" s="304">
        <v>0</v>
      </c>
      <c r="S530" s="308">
        <v>1</v>
      </c>
    </row>
    <row r="531" spans="1:19" ht="84">
      <c r="A531" s="303">
        <v>526</v>
      </c>
      <c r="B531" s="304">
        <v>750</v>
      </c>
      <c r="C531" s="305" t="s">
        <v>720</v>
      </c>
      <c r="D531" s="306" t="s">
        <v>721</v>
      </c>
      <c r="E531" s="305" t="s">
        <v>733</v>
      </c>
      <c r="F531" s="306" t="s">
        <v>68</v>
      </c>
      <c r="G531" s="306" t="s">
        <v>2551</v>
      </c>
      <c r="H531" s="306" t="s">
        <v>2552</v>
      </c>
      <c r="I531" s="306" t="s">
        <v>2553</v>
      </c>
      <c r="J531" s="304" t="s">
        <v>87</v>
      </c>
      <c r="K531" s="307">
        <v>43374</v>
      </c>
      <c r="L531" s="309">
        <v>45656</v>
      </c>
      <c r="M531" s="306" t="s">
        <v>99</v>
      </c>
      <c r="N531" s="304" t="s">
        <v>90</v>
      </c>
      <c r="O531" s="306" t="s">
        <v>71</v>
      </c>
      <c r="P531" s="304">
        <v>1</v>
      </c>
      <c r="Q531" s="304">
        <v>1</v>
      </c>
      <c r="R531" s="304">
        <v>0</v>
      </c>
      <c r="S531" s="308">
        <v>1</v>
      </c>
    </row>
    <row r="532" spans="1:19" ht="144">
      <c r="A532" s="303">
        <v>527</v>
      </c>
      <c r="B532" s="304">
        <v>751</v>
      </c>
      <c r="C532" s="305" t="s">
        <v>720</v>
      </c>
      <c r="D532" s="306" t="s">
        <v>721</v>
      </c>
      <c r="E532" s="305" t="s">
        <v>733</v>
      </c>
      <c r="F532" s="306" t="s">
        <v>68</v>
      </c>
      <c r="G532" s="306" t="s">
        <v>2551</v>
      </c>
      <c r="H532" s="306" t="s">
        <v>2401</v>
      </c>
      <c r="I532" s="306" t="s">
        <v>2554</v>
      </c>
      <c r="J532" s="304" t="s">
        <v>87</v>
      </c>
      <c r="K532" s="307">
        <v>43374</v>
      </c>
      <c r="L532" s="309">
        <v>45644</v>
      </c>
      <c r="M532" s="306" t="s">
        <v>89</v>
      </c>
      <c r="N532" s="304" t="s">
        <v>96</v>
      </c>
      <c r="O532" s="306" t="s">
        <v>51</v>
      </c>
      <c r="P532" s="304">
        <v>1</v>
      </c>
      <c r="Q532" s="304">
        <v>1</v>
      </c>
      <c r="R532" s="304">
        <v>0</v>
      </c>
      <c r="S532" s="308">
        <v>1</v>
      </c>
    </row>
    <row r="533" spans="1:19" ht="273">
      <c r="A533" s="303">
        <v>528</v>
      </c>
      <c r="B533" s="304">
        <v>752</v>
      </c>
      <c r="C533" s="305" t="s">
        <v>720</v>
      </c>
      <c r="D533" s="306" t="s">
        <v>721</v>
      </c>
      <c r="E533" s="305" t="s">
        <v>733</v>
      </c>
      <c r="F533" s="306" t="s">
        <v>68</v>
      </c>
      <c r="G533" s="306" t="s">
        <v>2555</v>
      </c>
      <c r="H533" s="306" t="s">
        <v>2556</v>
      </c>
      <c r="I533" s="306" t="s">
        <v>2557</v>
      </c>
      <c r="J533" s="304" t="s">
        <v>87</v>
      </c>
      <c r="K533" s="307">
        <v>43374</v>
      </c>
      <c r="L533" s="309">
        <v>45656</v>
      </c>
      <c r="M533" s="306" t="s">
        <v>211</v>
      </c>
      <c r="N533" s="304" t="s">
        <v>96</v>
      </c>
      <c r="O533" s="306" t="s">
        <v>51</v>
      </c>
      <c r="P533" s="304">
        <v>1</v>
      </c>
      <c r="Q533" s="304">
        <v>1</v>
      </c>
      <c r="R533" s="304">
        <v>0</v>
      </c>
      <c r="S533" s="308">
        <v>1</v>
      </c>
    </row>
    <row r="534" spans="1:19" ht="84">
      <c r="A534" s="303">
        <v>529</v>
      </c>
      <c r="B534" s="304">
        <v>753</v>
      </c>
      <c r="C534" s="305" t="s">
        <v>720</v>
      </c>
      <c r="D534" s="306" t="s">
        <v>721</v>
      </c>
      <c r="E534" s="305" t="s">
        <v>733</v>
      </c>
      <c r="F534" s="306" t="s">
        <v>68</v>
      </c>
      <c r="G534" s="306" t="s">
        <v>2558</v>
      </c>
      <c r="H534" s="306" t="s">
        <v>2559</v>
      </c>
      <c r="I534" s="306" t="s">
        <v>2560</v>
      </c>
      <c r="J534" s="304" t="s">
        <v>87</v>
      </c>
      <c r="K534" s="307">
        <v>43374</v>
      </c>
      <c r="L534" s="309">
        <v>45657</v>
      </c>
      <c r="M534" s="306" t="s">
        <v>89</v>
      </c>
      <c r="N534" s="304" t="s">
        <v>90</v>
      </c>
      <c r="O534" s="306" t="s">
        <v>51</v>
      </c>
      <c r="P534" s="304">
        <v>1</v>
      </c>
      <c r="Q534" s="304">
        <v>1</v>
      </c>
      <c r="R534" s="304">
        <v>0</v>
      </c>
      <c r="S534" s="308">
        <v>1</v>
      </c>
    </row>
    <row r="535" spans="1:19" ht="60">
      <c r="A535" s="303">
        <v>530</v>
      </c>
      <c r="B535" s="304">
        <v>754</v>
      </c>
      <c r="C535" s="305" t="s">
        <v>720</v>
      </c>
      <c r="D535" s="306" t="s">
        <v>721</v>
      </c>
      <c r="E535" s="305" t="s">
        <v>733</v>
      </c>
      <c r="F535" s="306" t="s">
        <v>68</v>
      </c>
      <c r="G535" s="306" t="s">
        <v>2558</v>
      </c>
      <c r="H535" s="306" t="s">
        <v>2561</v>
      </c>
      <c r="I535" s="306" t="s">
        <v>2562</v>
      </c>
      <c r="J535" s="304" t="s">
        <v>87</v>
      </c>
      <c r="K535" s="307">
        <v>43374</v>
      </c>
      <c r="L535" s="309">
        <v>45657</v>
      </c>
      <c r="M535" s="306" t="s">
        <v>211</v>
      </c>
      <c r="N535" s="304" t="s">
        <v>96</v>
      </c>
      <c r="O535" s="306" t="s">
        <v>51</v>
      </c>
      <c r="P535" s="304">
        <v>1</v>
      </c>
      <c r="Q535" s="304">
        <v>1</v>
      </c>
      <c r="R535" s="304">
        <v>0</v>
      </c>
      <c r="S535" s="308">
        <v>1</v>
      </c>
    </row>
    <row r="536" spans="1:19" ht="84">
      <c r="A536" s="303">
        <v>531</v>
      </c>
      <c r="B536" s="304">
        <v>755</v>
      </c>
      <c r="C536" s="305" t="s">
        <v>720</v>
      </c>
      <c r="D536" s="306" t="s">
        <v>721</v>
      </c>
      <c r="E536" s="305" t="s">
        <v>733</v>
      </c>
      <c r="F536" s="306" t="s">
        <v>68</v>
      </c>
      <c r="G536" s="306" t="s">
        <v>2558</v>
      </c>
      <c r="H536" s="306" t="s">
        <v>2563</v>
      </c>
      <c r="I536" s="306" t="s">
        <v>2564</v>
      </c>
      <c r="J536" s="304" t="s">
        <v>87</v>
      </c>
      <c r="K536" s="307">
        <v>43374</v>
      </c>
      <c r="L536" s="309">
        <v>45657</v>
      </c>
      <c r="M536" s="306" t="s">
        <v>205</v>
      </c>
      <c r="N536" s="304" t="s">
        <v>90</v>
      </c>
      <c r="O536" s="306" t="s">
        <v>51</v>
      </c>
      <c r="P536" s="304">
        <v>1</v>
      </c>
      <c r="Q536" s="304">
        <v>1</v>
      </c>
      <c r="R536" s="304">
        <v>0</v>
      </c>
      <c r="S536" s="308">
        <v>1</v>
      </c>
    </row>
    <row r="537" spans="1:19" ht="48">
      <c r="A537" s="303">
        <v>532</v>
      </c>
      <c r="B537" s="304">
        <v>756</v>
      </c>
      <c r="C537" s="305" t="s">
        <v>720</v>
      </c>
      <c r="D537" s="306" t="s">
        <v>721</v>
      </c>
      <c r="E537" s="305" t="s">
        <v>733</v>
      </c>
      <c r="F537" s="306" t="s">
        <v>68</v>
      </c>
      <c r="G537" s="306" t="s">
        <v>2565</v>
      </c>
      <c r="H537" s="306" t="s">
        <v>2566</v>
      </c>
      <c r="I537" s="306" t="s">
        <v>2567</v>
      </c>
      <c r="J537" s="304" t="s">
        <v>87</v>
      </c>
      <c r="K537" s="307">
        <v>43374</v>
      </c>
      <c r="L537" s="309">
        <v>43462</v>
      </c>
      <c r="M537" s="306" t="s">
        <v>89</v>
      </c>
      <c r="N537" s="304" t="s">
        <v>90</v>
      </c>
      <c r="O537" s="306" t="s">
        <v>51</v>
      </c>
      <c r="P537" s="304">
        <v>1</v>
      </c>
      <c r="Q537" s="304">
        <v>1</v>
      </c>
      <c r="R537" s="304">
        <v>0</v>
      </c>
      <c r="S537" s="308">
        <v>1</v>
      </c>
    </row>
    <row r="538" spans="1:19" ht="60">
      <c r="A538" s="303">
        <v>533</v>
      </c>
      <c r="B538" s="304">
        <v>757</v>
      </c>
      <c r="C538" s="305" t="s">
        <v>720</v>
      </c>
      <c r="D538" s="306" t="s">
        <v>721</v>
      </c>
      <c r="E538" s="305" t="s">
        <v>733</v>
      </c>
      <c r="F538" s="306" t="s">
        <v>68</v>
      </c>
      <c r="G538" s="306" t="s">
        <v>2565</v>
      </c>
      <c r="H538" s="306" t="s">
        <v>2568</v>
      </c>
      <c r="I538" s="306" t="s">
        <v>2569</v>
      </c>
      <c r="J538" s="304" t="s">
        <v>87</v>
      </c>
      <c r="K538" s="307">
        <v>43374</v>
      </c>
      <c r="L538" s="309">
        <v>43462</v>
      </c>
      <c r="M538" s="306" t="s">
        <v>89</v>
      </c>
      <c r="N538" s="304" t="s">
        <v>90</v>
      </c>
      <c r="O538" s="306" t="s">
        <v>51</v>
      </c>
      <c r="P538" s="304">
        <v>1</v>
      </c>
      <c r="Q538" s="304">
        <v>1</v>
      </c>
      <c r="R538" s="304">
        <v>0</v>
      </c>
      <c r="S538" s="308">
        <v>1</v>
      </c>
    </row>
    <row r="539" spans="1:19" ht="168">
      <c r="A539" s="303">
        <v>534</v>
      </c>
      <c r="B539" s="304">
        <v>758</v>
      </c>
      <c r="C539" s="305" t="s">
        <v>720</v>
      </c>
      <c r="D539" s="306" t="s">
        <v>721</v>
      </c>
      <c r="E539" s="305" t="s">
        <v>733</v>
      </c>
      <c r="F539" s="306" t="s">
        <v>68</v>
      </c>
      <c r="G539" s="306" t="s">
        <v>2570</v>
      </c>
      <c r="H539" s="306" t="s">
        <v>2571</v>
      </c>
      <c r="I539" s="306" t="s">
        <v>2572</v>
      </c>
      <c r="J539" s="304" t="s">
        <v>87</v>
      </c>
      <c r="K539" s="307">
        <v>43374</v>
      </c>
      <c r="L539" s="309">
        <v>45657</v>
      </c>
      <c r="M539" s="306" t="s">
        <v>205</v>
      </c>
      <c r="N539" s="304" t="s">
        <v>96</v>
      </c>
      <c r="O539" s="306" t="s">
        <v>51</v>
      </c>
      <c r="P539" s="304">
        <v>1</v>
      </c>
      <c r="Q539" s="304">
        <v>1</v>
      </c>
      <c r="R539" s="304">
        <v>0</v>
      </c>
      <c r="S539" s="308">
        <v>1</v>
      </c>
    </row>
    <row r="540" spans="1:19" ht="120">
      <c r="A540" s="303">
        <v>535</v>
      </c>
      <c r="B540" s="304">
        <v>759</v>
      </c>
      <c r="C540" s="305" t="s">
        <v>720</v>
      </c>
      <c r="D540" s="306" t="s">
        <v>721</v>
      </c>
      <c r="E540" s="305" t="s">
        <v>733</v>
      </c>
      <c r="F540" s="306" t="s">
        <v>68</v>
      </c>
      <c r="G540" s="306" t="s">
        <v>2573</v>
      </c>
      <c r="H540" s="306" t="s">
        <v>2574</v>
      </c>
      <c r="I540" s="306" t="s">
        <v>2575</v>
      </c>
      <c r="J540" s="304" t="s">
        <v>87</v>
      </c>
      <c r="K540" s="307">
        <v>43374</v>
      </c>
      <c r="L540" s="309">
        <v>45657</v>
      </c>
      <c r="M540" s="306" t="s">
        <v>2576</v>
      </c>
      <c r="N540" s="304" t="s">
        <v>96</v>
      </c>
      <c r="O540" s="306" t="s">
        <v>51</v>
      </c>
      <c r="P540" s="304">
        <v>1</v>
      </c>
      <c r="Q540" s="304">
        <v>1</v>
      </c>
      <c r="R540" s="304">
        <v>0</v>
      </c>
      <c r="S540" s="308">
        <v>1</v>
      </c>
    </row>
    <row r="541" spans="1:19" ht="84">
      <c r="A541" s="303">
        <v>536</v>
      </c>
      <c r="B541" s="304">
        <v>760</v>
      </c>
      <c r="C541" s="305" t="s">
        <v>720</v>
      </c>
      <c r="D541" s="306" t="s">
        <v>721</v>
      </c>
      <c r="E541" s="305" t="s">
        <v>733</v>
      </c>
      <c r="F541" s="306" t="s">
        <v>68</v>
      </c>
      <c r="G541" s="306" t="s">
        <v>2577</v>
      </c>
      <c r="H541" s="306" t="s">
        <v>2578</v>
      </c>
      <c r="I541" s="306" t="s">
        <v>2579</v>
      </c>
      <c r="J541" s="304" t="s">
        <v>87</v>
      </c>
      <c r="K541" s="307">
        <v>43374</v>
      </c>
      <c r="L541" s="307">
        <v>43525</v>
      </c>
      <c r="M541" s="306" t="s">
        <v>89</v>
      </c>
      <c r="N541" s="304" t="s">
        <v>90</v>
      </c>
      <c r="O541" s="306" t="s">
        <v>51</v>
      </c>
      <c r="P541" s="304">
        <v>1</v>
      </c>
      <c r="Q541" s="304">
        <v>1</v>
      </c>
      <c r="R541" s="304">
        <v>0</v>
      </c>
      <c r="S541" s="308">
        <v>1</v>
      </c>
    </row>
    <row r="542" spans="1:19" ht="156">
      <c r="A542" s="303">
        <v>537</v>
      </c>
      <c r="B542" s="304">
        <v>761</v>
      </c>
      <c r="C542" s="305" t="s">
        <v>720</v>
      </c>
      <c r="D542" s="306" t="s">
        <v>721</v>
      </c>
      <c r="E542" s="305" t="s">
        <v>836</v>
      </c>
      <c r="F542" s="306" t="s">
        <v>58</v>
      </c>
      <c r="G542" s="306" t="s">
        <v>2580</v>
      </c>
      <c r="H542" s="306" t="s">
        <v>1074</v>
      </c>
      <c r="I542" s="306" t="s">
        <v>2581</v>
      </c>
      <c r="J542" s="304" t="s">
        <v>87</v>
      </c>
      <c r="K542" s="307">
        <v>43374</v>
      </c>
      <c r="L542" s="307">
        <v>43553</v>
      </c>
      <c r="M542" s="306" t="s">
        <v>221</v>
      </c>
      <c r="N542" s="304" t="s">
        <v>90</v>
      </c>
      <c r="O542" s="306" t="s">
        <v>55</v>
      </c>
      <c r="P542" s="304">
        <v>1</v>
      </c>
      <c r="Q542" s="304">
        <v>1</v>
      </c>
      <c r="R542" s="304">
        <v>0</v>
      </c>
      <c r="S542" s="308">
        <v>1</v>
      </c>
    </row>
    <row r="543" spans="1:19" ht="108">
      <c r="A543" s="303">
        <v>538</v>
      </c>
      <c r="B543" s="304">
        <v>762</v>
      </c>
      <c r="C543" s="305" t="s">
        <v>720</v>
      </c>
      <c r="D543" s="306" t="s">
        <v>721</v>
      </c>
      <c r="E543" s="305" t="s">
        <v>836</v>
      </c>
      <c r="F543" s="306" t="s">
        <v>58</v>
      </c>
      <c r="G543" s="306" t="s">
        <v>2580</v>
      </c>
      <c r="H543" s="306" t="s">
        <v>1076</v>
      </c>
      <c r="I543" s="306" t="s">
        <v>2582</v>
      </c>
      <c r="J543" s="304" t="s">
        <v>87</v>
      </c>
      <c r="K543" s="307">
        <v>43374</v>
      </c>
      <c r="L543" s="309">
        <v>45596</v>
      </c>
      <c r="M543" s="306" t="s">
        <v>221</v>
      </c>
      <c r="N543" s="304" t="s">
        <v>96</v>
      </c>
      <c r="O543" s="306" t="s">
        <v>55</v>
      </c>
      <c r="P543" s="304">
        <v>1</v>
      </c>
      <c r="Q543" s="304">
        <v>1</v>
      </c>
      <c r="R543" s="304">
        <v>0</v>
      </c>
      <c r="S543" s="308">
        <v>1</v>
      </c>
    </row>
    <row r="544" spans="1:19" ht="72">
      <c r="A544" s="303">
        <v>539</v>
      </c>
      <c r="B544" s="304">
        <v>763</v>
      </c>
      <c r="C544" s="305" t="s">
        <v>720</v>
      </c>
      <c r="D544" s="306" t="s">
        <v>721</v>
      </c>
      <c r="E544" s="305" t="s">
        <v>836</v>
      </c>
      <c r="F544" s="306" t="s">
        <v>58</v>
      </c>
      <c r="G544" s="306" t="s">
        <v>2583</v>
      </c>
      <c r="H544" s="306" t="s">
        <v>1078</v>
      </c>
      <c r="I544" s="306"/>
      <c r="J544" s="304" t="s">
        <v>87</v>
      </c>
      <c r="K544" s="307">
        <v>43374</v>
      </c>
      <c r="L544" s="309">
        <v>43462</v>
      </c>
      <c r="M544" s="306" t="s">
        <v>89</v>
      </c>
      <c r="N544" s="304" t="s">
        <v>90</v>
      </c>
      <c r="O544" s="306" t="s">
        <v>71</v>
      </c>
      <c r="P544" s="304">
        <v>1</v>
      </c>
      <c r="Q544" s="304">
        <v>1</v>
      </c>
      <c r="R544" s="304">
        <v>0</v>
      </c>
      <c r="S544" s="308">
        <v>1</v>
      </c>
    </row>
    <row r="545" spans="1:19" ht="72">
      <c r="A545" s="303">
        <v>540</v>
      </c>
      <c r="B545" s="304">
        <v>764</v>
      </c>
      <c r="C545" s="305" t="s">
        <v>720</v>
      </c>
      <c r="D545" s="306" t="s">
        <v>721</v>
      </c>
      <c r="E545" s="305" t="s">
        <v>836</v>
      </c>
      <c r="F545" s="306" t="s">
        <v>58</v>
      </c>
      <c r="G545" s="306" t="s">
        <v>2583</v>
      </c>
      <c r="H545" s="306" t="s">
        <v>1082</v>
      </c>
      <c r="I545" s="306" t="s">
        <v>2584</v>
      </c>
      <c r="J545" s="304" t="s">
        <v>87</v>
      </c>
      <c r="K545" s="307">
        <v>43374</v>
      </c>
      <c r="L545" s="309">
        <v>45652</v>
      </c>
      <c r="M545" s="306" t="s">
        <v>205</v>
      </c>
      <c r="N545" s="304" t="s">
        <v>96</v>
      </c>
      <c r="O545" s="306" t="s">
        <v>71</v>
      </c>
      <c r="P545" s="304">
        <v>1</v>
      </c>
      <c r="Q545" s="304">
        <v>1</v>
      </c>
      <c r="R545" s="304">
        <v>0</v>
      </c>
      <c r="S545" s="308">
        <v>1</v>
      </c>
    </row>
    <row r="546" spans="1:19" ht="409.6">
      <c r="A546" s="303">
        <v>541</v>
      </c>
      <c r="B546" s="304">
        <v>765</v>
      </c>
      <c r="C546" s="305" t="s">
        <v>720</v>
      </c>
      <c r="D546" s="306" t="s">
        <v>721</v>
      </c>
      <c r="E546" s="305" t="s">
        <v>836</v>
      </c>
      <c r="F546" s="306" t="s">
        <v>58</v>
      </c>
      <c r="G546" s="306" t="s">
        <v>2585</v>
      </c>
      <c r="H546" s="306" t="s">
        <v>1038</v>
      </c>
      <c r="I546" s="306" t="s">
        <v>2586</v>
      </c>
      <c r="J546" s="304" t="s">
        <v>87</v>
      </c>
      <c r="K546" s="307">
        <v>43374</v>
      </c>
      <c r="L546" s="309">
        <v>45655</v>
      </c>
      <c r="M546" s="306" t="s">
        <v>205</v>
      </c>
      <c r="N546" s="304" t="s">
        <v>96</v>
      </c>
      <c r="O546" s="306" t="s">
        <v>51</v>
      </c>
      <c r="P546" s="304">
        <v>1</v>
      </c>
      <c r="Q546" s="304">
        <v>1</v>
      </c>
      <c r="R546" s="304">
        <v>0</v>
      </c>
      <c r="S546" s="308">
        <v>1</v>
      </c>
    </row>
    <row r="547" spans="1:19" ht="409.6">
      <c r="A547" s="303">
        <v>542</v>
      </c>
      <c r="B547" s="304">
        <v>766</v>
      </c>
      <c r="C547" s="305" t="s">
        <v>720</v>
      </c>
      <c r="D547" s="306" t="s">
        <v>721</v>
      </c>
      <c r="E547" s="305" t="s">
        <v>836</v>
      </c>
      <c r="F547" s="306" t="s">
        <v>58</v>
      </c>
      <c r="G547" s="306" t="s">
        <v>2585</v>
      </c>
      <c r="H547" s="306" t="s">
        <v>1045</v>
      </c>
      <c r="I547" s="306" t="s">
        <v>2587</v>
      </c>
      <c r="J547" s="304" t="s">
        <v>87</v>
      </c>
      <c r="K547" s="307">
        <v>43374</v>
      </c>
      <c r="L547" s="309">
        <v>45656</v>
      </c>
      <c r="M547" s="306" t="s">
        <v>211</v>
      </c>
      <c r="N547" s="304" t="s">
        <v>96</v>
      </c>
      <c r="O547" s="306" t="s">
        <v>51</v>
      </c>
      <c r="P547" s="304">
        <v>1</v>
      </c>
      <c r="Q547" s="304">
        <v>1</v>
      </c>
      <c r="R547" s="304">
        <v>0</v>
      </c>
      <c r="S547" s="308">
        <v>1</v>
      </c>
    </row>
    <row r="548" spans="1:19" ht="409.6">
      <c r="A548" s="303">
        <v>543</v>
      </c>
      <c r="B548" s="304">
        <v>767</v>
      </c>
      <c r="C548" s="305" t="s">
        <v>720</v>
      </c>
      <c r="D548" s="306" t="s">
        <v>721</v>
      </c>
      <c r="E548" s="305" t="s">
        <v>836</v>
      </c>
      <c r="F548" s="306" t="s">
        <v>58</v>
      </c>
      <c r="G548" s="306" t="s">
        <v>2585</v>
      </c>
      <c r="H548" s="306" t="s">
        <v>1051</v>
      </c>
      <c r="I548" s="306" t="s">
        <v>2588</v>
      </c>
      <c r="J548" s="304" t="s">
        <v>87</v>
      </c>
      <c r="K548" s="307">
        <v>43374</v>
      </c>
      <c r="L548" s="309">
        <v>45656</v>
      </c>
      <c r="M548" s="306" t="s">
        <v>209</v>
      </c>
      <c r="N548" s="304" t="s">
        <v>90</v>
      </c>
      <c r="O548" s="306" t="s">
        <v>51</v>
      </c>
      <c r="P548" s="304">
        <v>1</v>
      </c>
      <c r="Q548" s="304">
        <v>1</v>
      </c>
      <c r="R548" s="304">
        <v>0</v>
      </c>
      <c r="S548" s="308">
        <v>1</v>
      </c>
    </row>
    <row r="549" spans="1:19" ht="84">
      <c r="A549" s="303">
        <v>544</v>
      </c>
      <c r="B549" s="304">
        <v>768</v>
      </c>
      <c r="C549" s="305" t="s">
        <v>720</v>
      </c>
      <c r="D549" s="306" t="s">
        <v>721</v>
      </c>
      <c r="E549" s="305" t="s">
        <v>836</v>
      </c>
      <c r="F549" s="306" t="s">
        <v>58</v>
      </c>
      <c r="G549" s="306" t="s">
        <v>2585</v>
      </c>
      <c r="H549" s="306" t="s">
        <v>1054</v>
      </c>
      <c r="I549" s="306" t="s">
        <v>2589</v>
      </c>
      <c r="J549" s="304" t="s">
        <v>87</v>
      </c>
      <c r="K549" s="307">
        <v>43374</v>
      </c>
      <c r="L549" s="307">
        <v>44012</v>
      </c>
      <c r="M549" s="306" t="s">
        <v>89</v>
      </c>
      <c r="N549" s="304" t="s">
        <v>90</v>
      </c>
      <c r="O549" s="306" t="s">
        <v>71</v>
      </c>
      <c r="P549" s="304">
        <v>1</v>
      </c>
      <c r="Q549" s="304">
        <v>1</v>
      </c>
      <c r="R549" s="304">
        <v>0</v>
      </c>
      <c r="S549" s="308">
        <v>1</v>
      </c>
    </row>
    <row r="550" spans="1:19" ht="84">
      <c r="A550" s="303">
        <v>545</v>
      </c>
      <c r="B550" s="304">
        <v>769</v>
      </c>
      <c r="C550" s="305" t="s">
        <v>720</v>
      </c>
      <c r="D550" s="306" t="s">
        <v>721</v>
      </c>
      <c r="E550" s="305" t="s">
        <v>836</v>
      </c>
      <c r="F550" s="306" t="s">
        <v>58</v>
      </c>
      <c r="G550" s="306" t="s">
        <v>2585</v>
      </c>
      <c r="H550" s="306" t="s">
        <v>1060</v>
      </c>
      <c r="I550" s="306" t="s">
        <v>2590</v>
      </c>
      <c r="J550" s="304" t="s">
        <v>87</v>
      </c>
      <c r="K550" s="307">
        <v>43374</v>
      </c>
      <c r="L550" s="309">
        <v>45656</v>
      </c>
      <c r="M550" s="306" t="s">
        <v>89</v>
      </c>
      <c r="N550" s="304" t="s">
        <v>90</v>
      </c>
      <c r="O550" s="306" t="s">
        <v>51</v>
      </c>
      <c r="P550" s="304">
        <v>1</v>
      </c>
      <c r="Q550" s="304">
        <v>1</v>
      </c>
      <c r="R550" s="304">
        <v>0</v>
      </c>
      <c r="S550" s="308">
        <v>1</v>
      </c>
    </row>
    <row r="551" spans="1:19" ht="317">
      <c r="A551" s="303">
        <v>546</v>
      </c>
      <c r="B551" s="304">
        <v>770</v>
      </c>
      <c r="C551" s="305" t="s">
        <v>720</v>
      </c>
      <c r="D551" s="306" t="s">
        <v>721</v>
      </c>
      <c r="E551" s="305" t="s">
        <v>836</v>
      </c>
      <c r="F551" s="306" t="s">
        <v>58</v>
      </c>
      <c r="G551" s="306" t="s">
        <v>2585</v>
      </c>
      <c r="H551" s="306" t="s">
        <v>1085</v>
      </c>
      <c r="I551" s="306" t="s">
        <v>2591</v>
      </c>
      <c r="J551" s="304" t="s">
        <v>97</v>
      </c>
      <c r="K551" s="307">
        <v>43374</v>
      </c>
      <c r="L551" s="309">
        <v>45655</v>
      </c>
      <c r="M551" s="306" t="s">
        <v>211</v>
      </c>
      <c r="N551" s="304" t="s">
        <v>96</v>
      </c>
      <c r="O551" s="306" t="s">
        <v>51</v>
      </c>
      <c r="P551" s="304">
        <v>1</v>
      </c>
      <c r="Q551" s="304">
        <v>1</v>
      </c>
      <c r="R551" s="304">
        <v>0</v>
      </c>
      <c r="S551" s="308">
        <v>1</v>
      </c>
    </row>
    <row r="552" spans="1:19" ht="361">
      <c r="A552" s="303">
        <v>547</v>
      </c>
      <c r="B552" s="304">
        <v>771</v>
      </c>
      <c r="C552" s="305" t="s">
        <v>720</v>
      </c>
      <c r="D552" s="306" t="s">
        <v>721</v>
      </c>
      <c r="E552" s="305" t="s">
        <v>836</v>
      </c>
      <c r="F552" s="306" t="s">
        <v>58</v>
      </c>
      <c r="G552" s="306" t="s">
        <v>2585</v>
      </c>
      <c r="H552" s="306" t="s">
        <v>2592</v>
      </c>
      <c r="I552" s="306" t="s">
        <v>2593</v>
      </c>
      <c r="J552" s="304" t="s">
        <v>87</v>
      </c>
      <c r="K552" s="307" t="s">
        <v>2398</v>
      </c>
      <c r="L552" s="309">
        <v>45656</v>
      </c>
      <c r="M552" s="306" t="s">
        <v>205</v>
      </c>
      <c r="N552" s="304" t="s">
        <v>96</v>
      </c>
      <c r="O552" s="306" t="s">
        <v>51</v>
      </c>
      <c r="P552" s="304">
        <v>1</v>
      </c>
      <c r="Q552" s="304">
        <v>1</v>
      </c>
      <c r="R552" s="304">
        <v>0</v>
      </c>
      <c r="S552" s="308">
        <v>1</v>
      </c>
    </row>
    <row r="553" spans="1:19" ht="108">
      <c r="A553" s="303">
        <v>548</v>
      </c>
      <c r="B553" s="304">
        <v>772</v>
      </c>
      <c r="C553" s="305" t="s">
        <v>720</v>
      </c>
      <c r="D553" s="306" t="s">
        <v>721</v>
      </c>
      <c r="E553" s="305" t="s">
        <v>838</v>
      </c>
      <c r="F553" s="306" t="s">
        <v>73</v>
      </c>
      <c r="G553" s="306" t="s">
        <v>2594</v>
      </c>
      <c r="H553" s="306" t="s">
        <v>1218</v>
      </c>
      <c r="I553" s="306" t="s">
        <v>2595</v>
      </c>
      <c r="J553" s="304" t="s">
        <v>87</v>
      </c>
      <c r="K553" s="307">
        <v>43374</v>
      </c>
      <c r="L553" s="309">
        <v>45646</v>
      </c>
      <c r="M553" s="306" t="s">
        <v>89</v>
      </c>
      <c r="N553" s="304" t="s">
        <v>90</v>
      </c>
      <c r="O553" s="306" t="s">
        <v>71</v>
      </c>
      <c r="P553" s="304">
        <v>1</v>
      </c>
      <c r="Q553" s="304">
        <v>1</v>
      </c>
      <c r="R553" s="304">
        <v>0</v>
      </c>
      <c r="S553" s="308">
        <v>1</v>
      </c>
    </row>
    <row r="554" spans="1:19" ht="108">
      <c r="A554" s="303">
        <v>549</v>
      </c>
      <c r="B554" s="304">
        <v>773</v>
      </c>
      <c r="C554" s="305" t="s">
        <v>720</v>
      </c>
      <c r="D554" s="306" t="s">
        <v>721</v>
      </c>
      <c r="E554" s="305" t="s">
        <v>838</v>
      </c>
      <c r="F554" s="306" t="s">
        <v>73</v>
      </c>
      <c r="G554" s="306" t="s">
        <v>2594</v>
      </c>
      <c r="H554" s="306" t="s">
        <v>1221</v>
      </c>
      <c r="I554" s="306" t="s">
        <v>2596</v>
      </c>
      <c r="J554" s="304" t="s">
        <v>87</v>
      </c>
      <c r="K554" s="307">
        <v>43374</v>
      </c>
      <c r="L554" s="307">
        <v>43570</v>
      </c>
      <c r="M554" s="306" t="s">
        <v>89</v>
      </c>
      <c r="N554" s="304" t="s">
        <v>90</v>
      </c>
      <c r="O554" s="306" t="s">
        <v>71</v>
      </c>
      <c r="P554" s="304">
        <v>1</v>
      </c>
      <c r="Q554" s="304">
        <v>1</v>
      </c>
      <c r="R554" s="304">
        <v>0</v>
      </c>
      <c r="S554" s="308">
        <v>1</v>
      </c>
    </row>
    <row r="555" spans="1:19" ht="108">
      <c r="A555" s="303">
        <v>550</v>
      </c>
      <c r="B555" s="304">
        <v>774</v>
      </c>
      <c r="C555" s="305" t="s">
        <v>720</v>
      </c>
      <c r="D555" s="306" t="s">
        <v>721</v>
      </c>
      <c r="E555" s="305" t="s">
        <v>838</v>
      </c>
      <c r="F555" s="306" t="s">
        <v>73</v>
      </c>
      <c r="G555" s="306" t="s">
        <v>2594</v>
      </c>
      <c r="H555" s="306" t="s">
        <v>1223</v>
      </c>
      <c r="I555" s="306" t="s">
        <v>2597</v>
      </c>
      <c r="J555" s="304" t="s">
        <v>87</v>
      </c>
      <c r="K555" s="307">
        <v>43374</v>
      </c>
      <c r="L555" s="307">
        <v>43678</v>
      </c>
      <c r="M555" s="306" t="s">
        <v>89</v>
      </c>
      <c r="N555" s="304" t="s">
        <v>90</v>
      </c>
      <c r="O555" s="306" t="s">
        <v>71</v>
      </c>
      <c r="P555" s="304">
        <v>1</v>
      </c>
      <c r="Q555" s="304">
        <v>1</v>
      </c>
      <c r="R555" s="304">
        <v>0</v>
      </c>
      <c r="S555" s="308">
        <v>1</v>
      </c>
    </row>
    <row r="556" spans="1:19" ht="108">
      <c r="A556" s="303">
        <v>551</v>
      </c>
      <c r="B556" s="304">
        <v>775</v>
      </c>
      <c r="C556" s="305" t="s">
        <v>720</v>
      </c>
      <c r="D556" s="306" t="s">
        <v>721</v>
      </c>
      <c r="E556" s="305" t="s">
        <v>838</v>
      </c>
      <c r="F556" s="306" t="s">
        <v>73</v>
      </c>
      <c r="G556" s="306" t="s">
        <v>2594</v>
      </c>
      <c r="H556" s="306" t="s">
        <v>1225</v>
      </c>
      <c r="I556" s="306" t="s">
        <v>2598</v>
      </c>
      <c r="J556" s="304" t="s">
        <v>87</v>
      </c>
      <c r="K556" s="307">
        <v>43374</v>
      </c>
      <c r="L556" s="307">
        <v>43739</v>
      </c>
      <c r="M556" s="306" t="s">
        <v>2518</v>
      </c>
      <c r="N556" s="304" t="s">
        <v>90</v>
      </c>
      <c r="O556" s="306" t="s">
        <v>71</v>
      </c>
      <c r="P556" s="304">
        <v>1</v>
      </c>
      <c r="Q556" s="304">
        <v>1</v>
      </c>
      <c r="R556" s="304">
        <v>0</v>
      </c>
      <c r="S556" s="308">
        <v>1</v>
      </c>
    </row>
    <row r="557" spans="1:19" ht="108">
      <c r="A557" s="303">
        <v>552</v>
      </c>
      <c r="B557" s="304">
        <v>776</v>
      </c>
      <c r="C557" s="305" t="s">
        <v>720</v>
      </c>
      <c r="D557" s="306" t="s">
        <v>721</v>
      </c>
      <c r="E557" s="305" t="s">
        <v>838</v>
      </c>
      <c r="F557" s="306" t="s">
        <v>73</v>
      </c>
      <c r="G557" s="306" t="s">
        <v>2594</v>
      </c>
      <c r="H557" s="306" t="s">
        <v>1252</v>
      </c>
      <c r="I557" s="306" t="s">
        <v>2599</v>
      </c>
      <c r="J557" s="304" t="s">
        <v>87</v>
      </c>
      <c r="K557" s="307">
        <v>43101</v>
      </c>
      <c r="L557" s="309">
        <v>45657</v>
      </c>
      <c r="M557" s="306" t="s">
        <v>211</v>
      </c>
      <c r="N557" s="304" t="s">
        <v>90</v>
      </c>
      <c r="O557" s="306" t="s">
        <v>5</v>
      </c>
      <c r="P557" s="304">
        <v>1</v>
      </c>
      <c r="Q557" s="304">
        <v>1</v>
      </c>
      <c r="R557" s="304">
        <v>0</v>
      </c>
      <c r="S557" s="308">
        <v>1</v>
      </c>
    </row>
    <row r="558" spans="1:19" ht="409.6">
      <c r="A558" s="303">
        <v>553</v>
      </c>
      <c r="B558" s="304">
        <v>777</v>
      </c>
      <c r="C558" s="305" t="s">
        <v>720</v>
      </c>
      <c r="D558" s="306" t="s">
        <v>721</v>
      </c>
      <c r="E558" s="305" t="s">
        <v>838</v>
      </c>
      <c r="F558" s="306" t="s">
        <v>73</v>
      </c>
      <c r="G558" s="306" t="s">
        <v>2594</v>
      </c>
      <c r="H558" s="306" t="s">
        <v>1227</v>
      </c>
      <c r="I558" s="306" t="s">
        <v>2600</v>
      </c>
      <c r="J558" s="304" t="s">
        <v>87</v>
      </c>
      <c r="K558" s="307">
        <v>43374</v>
      </c>
      <c r="L558" s="309">
        <v>45657</v>
      </c>
      <c r="M558" s="306" t="s">
        <v>211</v>
      </c>
      <c r="N558" s="304" t="s">
        <v>96</v>
      </c>
      <c r="O558" s="306" t="s">
        <v>5</v>
      </c>
      <c r="P558" s="304">
        <v>1</v>
      </c>
      <c r="Q558" s="304">
        <v>1</v>
      </c>
      <c r="R558" s="304">
        <v>0</v>
      </c>
      <c r="S558" s="308">
        <v>1</v>
      </c>
    </row>
    <row r="559" spans="1:19" ht="108">
      <c r="A559" s="303">
        <v>554</v>
      </c>
      <c r="B559" s="304">
        <v>778</v>
      </c>
      <c r="C559" s="305" t="s">
        <v>720</v>
      </c>
      <c r="D559" s="306" t="s">
        <v>721</v>
      </c>
      <c r="E559" s="305" t="s">
        <v>838</v>
      </c>
      <c r="F559" s="306" t="s">
        <v>73</v>
      </c>
      <c r="G559" s="306" t="s">
        <v>2594</v>
      </c>
      <c r="H559" s="306" t="s">
        <v>1234</v>
      </c>
      <c r="I559" s="306" t="s">
        <v>2601</v>
      </c>
      <c r="J559" s="304" t="s">
        <v>87</v>
      </c>
      <c r="K559" s="307">
        <v>43374</v>
      </c>
      <c r="L559" s="307">
        <v>45708</v>
      </c>
      <c r="M559" s="306" t="s">
        <v>89</v>
      </c>
      <c r="N559" s="304" t="s">
        <v>90</v>
      </c>
      <c r="O559" s="306" t="s">
        <v>5</v>
      </c>
      <c r="P559" s="304">
        <v>1</v>
      </c>
      <c r="Q559" s="304">
        <v>1</v>
      </c>
      <c r="R559" s="304">
        <v>0</v>
      </c>
      <c r="S559" s="308">
        <v>1</v>
      </c>
    </row>
    <row r="560" spans="1:19" ht="108">
      <c r="A560" s="303">
        <v>555</v>
      </c>
      <c r="B560" s="304">
        <v>779</v>
      </c>
      <c r="C560" s="305" t="s">
        <v>720</v>
      </c>
      <c r="D560" s="306" t="s">
        <v>721</v>
      </c>
      <c r="E560" s="305" t="s">
        <v>838</v>
      </c>
      <c r="F560" s="306" t="s">
        <v>73</v>
      </c>
      <c r="G560" s="306" t="s">
        <v>2594</v>
      </c>
      <c r="H560" s="306" t="s">
        <v>1252</v>
      </c>
      <c r="I560" s="306" t="s">
        <v>2602</v>
      </c>
      <c r="J560" s="304" t="s">
        <v>97</v>
      </c>
      <c r="K560" s="307">
        <v>43374</v>
      </c>
      <c r="L560" s="307">
        <v>43678</v>
      </c>
      <c r="M560" s="306" t="s">
        <v>89</v>
      </c>
      <c r="N560" s="304" t="s">
        <v>90</v>
      </c>
      <c r="O560" s="306" t="s">
        <v>5</v>
      </c>
      <c r="P560" s="304">
        <v>1</v>
      </c>
      <c r="Q560" s="304">
        <v>1</v>
      </c>
      <c r="R560" s="304">
        <v>0</v>
      </c>
      <c r="S560" s="308">
        <v>1</v>
      </c>
    </row>
    <row r="561" spans="1:19" ht="108">
      <c r="A561" s="303">
        <v>556</v>
      </c>
      <c r="B561" s="304">
        <v>780</v>
      </c>
      <c r="C561" s="305" t="s">
        <v>720</v>
      </c>
      <c r="D561" s="306" t="s">
        <v>721</v>
      </c>
      <c r="E561" s="305" t="s">
        <v>838</v>
      </c>
      <c r="F561" s="306" t="s">
        <v>73</v>
      </c>
      <c r="G561" s="306" t="s">
        <v>2594</v>
      </c>
      <c r="H561" s="306" t="s">
        <v>1255</v>
      </c>
      <c r="I561" s="306" t="s">
        <v>2603</v>
      </c>
      <c r="J561" s="304" t="s">
        <v>97</v>
      </c>
      <c r="K561" s="307">
        <v>43374</v>
      </c>
      <c r="L561" s="307">
        <v>43678</v>
      </c>
      <c r="M561" s="306" t="s">
        <v>89</v>
      </c>
      <c r="N561" s="304" t="s">
        <v>90</v>
      </c>
      <c r="O561" s="306" t="s">
        <v>5</v>
      </c>
      <c r="P561" s="304">
        <v>1</v>
      </c>
      <c r="Q561" s="304">
        <v>1</v>
      </c>
      <c r="R561" s="304">
        <v>0</v>
      </c>
      <c r="S561" s="308">
        <v>1</v>
      </c>
    </row>
    <row r="562" spans="1:19" ht="108">
      <c r="A562" s="303">
        <v>557</v>
      </c>
      <c r="B562" s="304">
        <v>781</v>
      </c>
      <c r="C562" s="305" t="s">
        <v>720</v>
      </c>
      <c r="D562" s="306" t="s">
        <v>721</v>
      </c>
      <c r="E562" s="305" t="s">
        <v>838</v>
      </c>
      <c r="F562" s="306" t="s">
        <v>73</v>
      </c>
      <c r="G562" s="306" t="s">
        <v>2594</v>
      </c>
      <c r="H562" s="306" t="s">
        <v>2604</v>
      </c>
      <c r="I562" s="306" t="s">
        <v>2605</v>
      </c>
      <c r="J562" s="304" t="s">
        <v>97</v>
      </c>
      <c r="K562" s="307">
        <v>43374</v>
      </c>
      <c r="L562" s="307">
        <v>45503</v>
      </c>
      <c r="M562" s="306" t="s">
        <v>89</v>
      </c>
      <c r="N562" s="304" t="s">
        <v>96</v>
      </c>
      <c r="O562" s="306" t="s">
        <v>5</v>
      </c>
      <c r="P562" s="304">
        <v>1</v>
      </c>
      <c r="Q562" s="304">
        <v>1</v>
      </c>
      <c r="R562" s="304">
        <v>0</v>
      </c>
      <c r="S562" s="308">
        <v>1</v>
      </c>
    </row>
    <row r="563" spans="1:19" ht="96">
      <c r="A563" s="303">
        <v>558</v>
      </c>
      <c r="B563" s="304">
        <v>782</v>
      </c>
      <c r="C563" s="305" t="s">
        <v>720</v>
      </c>
      <c r="D563" s="306" t="s">
        <v>721</v>
      </c>
      <c r="E563" s="305" t="s">
        <v>838</v>
      </c>
      <c r="F563" s="306" t="s">
        <v>73</v>
      </c>
      <c r="G563" s="306" t="s">
        <v>2606</v>
      </c>
      <c r="H563" s="306" t="s">
        <v>2607</v>
      </c>
      <c r="I563" s="306" t="s">
        <v>2608</v>
      </c>
      <c r="J563" s="304" t="s">
        <v>87</v>
      </c>
      <c r="K563" s="307">
        <v>43374</v>
      </c>
      <c r="L563" s="307">
        <v>43647</v>
      </c>
      <c r="M563" s="306" t="s">
        <v>89</v>
      </c>
      <c r="N563" s="304" t="s">
        <v>90</v>
      </c>
      <c r="O563" s="306" t="s">
        <v>5</v>
      </c>
      <c r="P563" s="304">
        <v>1</v>
      </c>
      <c r="Q563" s="304">
        <v>1</v>
      </c>
      <c r="R563" s="304">
        <v>0</v>
      </c>
      <c r="S563" s="308">
        <v>1</v>
      </c>
    </row>
    <row r="564" spans="1:19" ht="60">
      <c r="A564" s="303">
        <v>559</v>
      </c>
      <c r="B564" s="304">
        <v>783</v>
      </c>
      <c r="C564" s="305" t="s">
        <v>720</v>
      </c>
      <c r="D564" s="306" t="s">
        <v>721</v>
      </c>
      <c r="E564" s="305" t="s">
        <v>838</v>
      </c>
      <c r="F564" s="306" t="s">
        <v>73</v>
      </c>
      <c r="G564" s="306" t="s">
        <v>2606</v>
      </c>
      <c r="H564" s="306" t="s">
        <v>2609</v>
      </c>
      <c r="I564" s="306" t="s">
        <v>2610</v>
      </c>
      <c r="J564" s="304" t="s">
        <v>87</v>
      </c>
      <c r="K564" s="307">
        <v>43374</v>
      </c>
      <c r="L564" s="307">
        <v>43678</v>
      </c>
      <c r="M564" s="306" t="s">
        <v>89</v>
      </c>
      <c r="N564" s="304" t="s">
        <v>90</v>
      </c>
      <c r="O564" s="306" t="s">
        <v>5</v>
      </c>
      <c r="P564" s="304">
        <v>1</v>
      </c>
      <c r="Q564" s="304">
        <v>1</v>
      </c>
      <c r="R564" s="304">
        <v>0</v>
      </c>
      <c r="S564" s="308">
        <v>1</v>
      </c>
    </row>
    <row r="565" spans="1:19" ht="48">
      <c r="A565" s="303">
        <v>560</v>
      </c>
      <c r="B565" s="304">
        <v>784</v>
      </c>
      <c r="C565" s="305" t="s">
        <v>720</v>
      </c>
      <c r="D565" s="306" t="s">
        <v>721</v>
      </c>
      <c r="E565" s="305" t="s">
        <v>838</v>
      </c>
      <c r="F565" s="306" t="s">
        <v>73</v>
      </c>
      <c r="G565" s="306" t="s">
        <v>2606</v>
      </c>
      <c r="H565" s="306" t="s">
        <v>1241</v>
      </c>
      <c r="I565" s="306" t="s">
        <v>1242</v>
      </c>
      <c r="J565" s="304" t="s">
        <v>87</v>
      </c>
      <c r="K565" s="307">
        <v>43374</v>
      </c>
      <c r="L565" s="307">
        <v>44013</v>
      </c>
      <c r="M565" s="306" t="s">
        <v>89</v>
      </c>
      <c r="N565" s="304" t="s">
        <v>90</v>
      </c>
      <c r="O565" s="306" t="s">
        <v>71</v>
      </c>
      <c r="P565" s="304">
        <v>1</v>
      </c>
      <c r="Q565" s="304">
        <v>1</v>
      </c>
      <c r="R565" s="304">
        <v>0</v>
      </c>
      <c r="S565" s="308">
        <v>1</v>
      </c>
    </row>
    <row r="566" spans="1:19" ht="84">
      <c r="A566" s="303">
        <v>561</v>
      </c>
      <c r="B566" s="304">
        <v>785</v>
      </c>
      <c r="C566" s="305" t="s">
        <v>720</v>
      </c>
      <c r="D566" s="306" t="s">
        <v>721</v>
      </c>
      <c r="E566" s="305" t="s">
        <v>838</v>
      </c>
      <c r="F566" s="306" t="s">
        <v>73</v>
      </c>
      <c r="G566" s="306" t="s">
        <v>2606</v>
      </c>
      <c r="H566" s="306" t="s">
        <v>2611</v>
      </c>
      <c r="I566" s="306" t="s">
        <v>2612</v>
      </c>
      <c r="J566" s="304" t="s">
        <v>87</v>
      </c>
      <c r="K566" s="307">
        <v>43374</v>
      </c>
      <c r="L566" s="309">
        <v>45657</v>
      </c>
      <c r="M566" s="306" t="s">
        <v>439</v>
      </c>
      <c r="N566" s="304" t="s">
        <v>96</v>
      </c>
      <c r="O566" s="306" t="s">
        <v>5</v>
      </c>
      <c r="P566" s="304">
        <v>1</v>
      </c>
      <c r="Q566" s="304">
        <v>1</v>
      </c>
      <c r="R566" s="304">
        <v>0</v>
      </c>
      <c r="S566" s="308">
        <v>1</v>
      </c>
    </row>
    <row r="567" spans="1:19" ht="84">
      <c r="A567" s="303">
        <v>562</v>
      </c>
      <c r="B567" s="304">
        <v>786</v>
      </c>
      <c r="C567" s="305" t="s">
        <v>720</v>
      </c>
      <c r="D567" s="306" t="s">
        <v>721</v>
      </c>
      <c r="E567" s="305" t="s">
        <v>838</v>
      </c>
      <c r="F567" s="306" t="s">
        <v>73</v>
      </c>
      <c r="G567" s="306" t="s">
        <v>2606</v>
      </c>
      <c r="H567" s="306" t="s">
        <v>2613</v>
      </c>
      <c r="I567" s="306" t="s">
        <v>1246</v>
      </c>
      <c r="J567" s="304" t="s">
        <v>87</v>
      </c>
      <c r="K567" s="307">
        <v>43374</v>
      </c>
      <c r="L567" s="309">
        <v>45657</v>
      </c>
      <c r="M567" s="306" t="s">
        <v>439</v>
      </c>
      <c r="N567" s="304" t="s">
        <v>96</v>
      </c>
      <c r="O567" s="306" t="s">
        <v>5</v>
      </c>
      <c r="P567" s="304">
        <v>1</v>
      </c>
      <c r="Q567" s="304">
        <v>1</v>
      </c>
      <c r="R567" s="304">
        <v>0</v>
      </c>
      <c r="S567" s="308">
        <v>1</v>
      </c>
    </row>
    <row r="568" spans="1:19" ht="84">
      <c r="A568" s="303">
        <v>563</v>
      </c>
      <c r="B568" s="304">
        <v>787</v>
      </c>
      <c r="C568" s="305" t="s">
        <v>720</v>
      </c>
      <c r="D568" s="306" t="s">
        <v>721</v>
      </c>
      <c r="E568" s="305" t="s">
        <v>838</v>
      </c>
      <c r="F568" s="306" t="s">
        <v>73</v>
      </c>
      <c r="G568" s="306" t="s">
        <v>2606</v>
      </c>
      <c r="H568" s="306" t="s">
        <v>2614</v>
      </c>
      <c r="I568" s="306" t="s">
        <v>2615</v>
      </c>
      <c r="J568" s="304" t="s">
        <v>87</v>
      </c>
      <c r="K568" s="307">
        <v>43374</v>
      </c>
      <c r="L568" s="309">
        <v>45657</v>
      </c>
      <c r="M568" s="306" t="s">
        <v>439</v>
      </c>
      <c r="N568" s="304" t="s">
        <v>96</v>
      </c>
      <c r="O568" s="306" t="s">
        <v>5</v>
      </c>
      <c r="P568" s="304">
        <v>1</v>
      </c>
      <c r="Q568" s="304">
        <v>1</v>
      </c>
      <c r="R568" s="304">
        <v>0</v>
      </c>
      <c r="S568" s="308">
        <v>1</v>
      </c>
    </row>
    <row r="569" spans="1:19" ht="48">
      <c r="A569" s="303">
        <v>564</v>
      </c>
      <c r="B569" s="304">
        <v>788</v>
      </c>
      <c r="C569" s="305" t="s">
        <v>720</v>
      </c>
      <c r="D569" s="306" t="s">
        <v>721</v>
      </c>
      <c r="E569" s="305" t="s">
        <v>838</v>
      </c>
      <c r="F569" s="306" t="s">
        <v>73</v>
      </c>
      <c r="G569" s="306" t="s">
        <v>2606</v>
      </c>
      <c r="H569" s="306" t="s">
        <v>2616</v>
      </c>
      <c r="I569" s="306" t="s">
        <v>2617</v>
      </c>
      <c r="J569" s="304" t="s">
        <v>97</v>
      </c>
      <c r="K569" s="307">
        <v>43374</v>
      </c>
      <c r="L569" s="307">
        <v>43739</v>
      </c>
      <c r="M569" s="306" t="s">
        <v>205</v>
      </c>
      <c r="N569" s="304" t="s">
        <v>90</v>
      </c>
      <c r="O569" s="306" t="s">
        <v>5</v>
      </c>
      <c r="P569" s="304">
        <v>1</v>
      </c>
      <c r="Q569" s="304">
        <v>1</v>
      </c>
      <c r="R569" s="304">
        <v>0</v>
      </c>
      <c r="S569" s="308">
        <v>1</v>
      </c>
    </row>
    <row r="570" spans="1:19" ht="72">
      <c r="A570" s="303">
        <v>565</v>
      </c>
      <c r="B570" s="304">
        <v>789</v>
      </c>
      <c r="C570" s="305" t="s">
        <v>720</v>
      </c>
      <c r="D570" s="306" t="s">
        <v>721</v>
      </c>
      <c r="E570" s="305" t="s">
        <v>838</v>
      </c>
      <c r="F570" s="306" t="s">
        <v>73</v>
      </c>
      <c r="G570" s="306" t="s">
        <v>2606</v>
      </c>
      <c r="H570" s="306" t="s">
        <v>2618</v>
      </c>
      <c r="I570" s="306" t="s">
        <v>2619</v>
      </c>
      <c r="J570" s="304" t="s">
        <v>97</v>
      </c>
      <c r="K570" s="307">
        <v>43374</v>
      </c>
      <c r="L570" s="307">
        <v>43739</v>
      </c>
      <c r="M570" s="306" t="s">
        <v>89</v>
      </c>
      <c r="N570" s="304" t="s">
        <v>90</v>
      </c>
      <c r="O570" s="306" t="s">
        <v>5</v>
      </c>
      <c r="P570" s="304">
        <v>1</v>
      </c>
      <c r="Q570" s="304">
        <v>1</v>
      </c>
      <c r="R570" s="304">
        <v>0</v>
      </c>
      <c r="S570" s="308">
        <v>1</v>
      </c>
    </row>
    <row r="571" spans="1:19" ht="96">
      <c r="A571" s="303">
        <v>566</v>
      </c>
      <c r="B571" s="304">
        <v>790</v>
      </c>
      <c r="C571" s="305" t="s">
        <v>720</v>
      </c>
      <c r="D571" s="306" t="s">
        <v>721</v>
      </c>
      <c r="E571" s="305" t="s">
        <v>838</v>
      </c>
      <c r="F571" s="306" t="s">
        <v>73</v>
      </c>
      <c r="G571" s="306" t="s">
        <v>2606</v>
      </c>
      <c r="H571" s="306" t="s">
        <v>2620</v>
      </c>
      <c r="I571" s="306" t="s">
        <v>2621</v>
      </c>
      <c r="J571" s="304" t="s">
        <v>97</v>
      </c>
      <c r="K571" s="307">
        <v>43374</v>
      </c>
      <c r="L571" s="307">
        <v>44105</v>
      </c>
      <c r="M571" s="306" t="s">
        <v>205</v>
      </c>
      <c r="N571" s="304" t="s">
        <v>90</v>
      </c>
      <c r="O571" s="306" t="s">
        <v>5</v>
      </c>
      <c r="P571" s="304">
        <v>1</v>
      </c>
      <c r="Q571" s="304">
        <v>1</v>
      </c>
      <c r="R571" s="304">
        <v>0</v>
      </c>
      <c r="S571" s="308">
        <v>1</v>
      </c>
    </row>
    <row r="572" spans="1:19" ht="48">
      <c r="A572" s="303">
        <v>567</v>
      </c>
      <c r="B572" s="304">
        <v>791</v>
      </c>
      <c r="C572" s="305" t="s">
        <v>720</v>
      </c>
      <c r="D572" s="306" t="s">
        <v>721</v>
      </c>
      <c r="E572" s="305" t="s">
        <v>838</v>
      </c>
      <c r="F572" s="306" t="s">
        <v>73</v>
      </c>
      <c r="G572" s="306" t="s">
        <v>2606</v>
      </c>
      <c r="H572" s="306" t="s">
        <v>1259</v>
      </c>
      <c r="I572" s="306" t="s">
        <v>2622</v>
      </c>
      <c r="J572" s="304" t="s">
        <v>97</v>
      </c>
      <c r="K572" s="307">
        <v>43374</v>
      </c>
      <c r="L572" s="309">
        <v>43830</v>
      </c>
      <c r="M572" s="306" t="s">
        <v>89</v>
      </c>
      <c r="N572" s="304" t="s">
        <v>90</v>
      </c>
      <c r="O572" s="306" t="s">
        <v>5</v>
      </c>
      <c r="P572" s="304">
        <v>1</v>
      </c>
      <c r="Q572" s="304">
        <v>1</v>
      </c>
      <c r="R572" s="304">
        <v>0</v>
      </c>
      <c r="S572" s="308">
        <v>1</v>
      </c>
    </row>
    <row r="573" spans="1:19" ht="96">
      <c r="A573" s="303">
        <v>568</v>
      </c>
      <c r="B573" s="304">
        <v>792</v>
      </c>
      <c r="C573" s="305" t="s">
        <v>720</v>
      </c>
      <c r="D573" s="306" t="s">
        <v>721</v>
      </c>
      <c r="E573" s="305" t="s">
        <v>838</v>
      </c>
      <c r="F573" s="306" t="s">
        <v>73</v>
      </c>
      <c r="G573" s="306" t="s">
        <v>2606</v>
      </c>
      <c r="H573" s="306" t="s">
        <v>2623</v>
      </c>
      <c r="I573" s="306" t="s">
        <v>2624</v>
      </c>
      <c r="J573" s="304" t="s">
        <v>97</v>
      </c>
      <c r="K573" s="307">
        <v>43374</v>
      </c>
      <c r="L573" s="307">
        <v>44105</v>
      </c>
      <c r="M573" s="306" t="s">
        <v>89</v>
      </c>
      <c r="N573" s="304" t="s">
        <v>90</v>
      </c>
      <c r="O573" s="306" t="s">
        <v>71</v>
      </c>
      <c r="P573" s="304">
        <v>1</v>
      </c>
      <c r="Q573" s="304">
        <v>1</v>
      </c>
      <c r="R573" s="304">
        <v>0</v>
      </c>
      <c r="S573" s="308">
        <v>1</v>
      </c>
    </row>
    <row r="574" spans="1:19" ht="72">
      <c r="A574" s="303">
        <v>569</v>
      </c>
      <c r="B574" s="304">
        <v>793</v>
      </c>
      <c r="C574" s="305" t="s">
        <v>720</v>
      </c>
      <c r="D574" s="306" t="s">
        <v>721</v>
      </c>
      <c r="E574" s="305" t="s">
        <v>838</v>
      </c>
      <c r="F574" s="306" t="s">
        <v>73</v>
      </c>
      <c r="G574" s="306" t="s">
        <v>2606</v>
      </c>
      <c r="H574" s="306" t="s">
        <v>2625</v>
      </c>
      <c r="I574" s="306" t="s">
        <v>2626</v>
      </c>
      <c r="J574" s="304" t="s">
        <v>97</v>
      </c>
      <c r="K574" s="307">
        <v>43374</v>
      </c>
      <c r="L574" s="307">
        <v>44136</v>
      </c>
      <c r="M574" s="306" t="s">
        <v>205</v>
      </c>
      <c r="N574" s="304" t="s">
        <v>90</v>
      </c>
      <c r="O574" s="306" t="s">
        <v>71</v>
      </c>
      <c r="P574" s="304">
        <v>1</v>
      </c>
      <c r="Q574" s="304">
        <v>1</v>
      </c>
      <c r="R574" s="304">
        <v>0</v>
      </c>
      <c r="S574" s="308">
        <v>1</v>
      </c>
    </row>
    <row r="575" spans="1:19" ht="48">
      <c r="A575" s="303">
        <v>570</v>
      </c>
      <c r="B575" s="304">
        <v>794</v>
      </c>
      <c r="C575" s="305" t="s">
        <v>720</v>
      </c>
      <c r="D575" s="306" t="s">
        <v>721</v>
      </c>
      <c r="E575" s="305" t="s">
        <v>838</v>
      </c>
      <c r="F575" s="306" t="s">
        <v>73</v>
      </c>
      <c r="G575" s="306" t="s">
        <v>2606</v>
      </c>
      <c r="H575" s="306" t="s">
        <v>2627</v>
      </c>
      <c r="I575" s="306" t="s">
        <v>2628</v>
      </c>
      <c r="J575" s="304" t="s">
        <v>97</v>
      </c>
      <c r="K575" s="307">
        <v>43374</v>
      </c>
      <c r="L575" s="307">
        <v>44013</v>
      </c>
      <c r="M575" s="306" t="s">
        <v>89</v>
      </c>
      <c r="N575" s="304" t="s">
        <v>90</v>
      </c>
      <c r="O575" s="306" t="s">
        <v>71</v>
      </c>
      <c r="P575" s="304">
        <v>1</v>
      </c>
      <c r="Q575" s="304">
        <v>1</v>
      </c>
      <c r="R575" s="304">
        <v>0</v>
      </c>
      <c r="S575" s="308">
        <v>1</v>
      </c>
    </row>
    <row r="576" spans="1:19" ht="48">
      <c r="A576" s="303">
        <v>571</v>
      </c>
      <c r="B576" s="304">
        <v>795</v>
      </c>
      <c r="C576" s="305" t="s">
        <v>720</v>
      </c>
      <c r="D576" s="306" t="s">
        <v>721</v>
      </c>
      <c r="E576" s="305" t="s">
        <v>838</v>
      </c>
      <c r="F576" s="306" t="s">
        <v>73</v>
      </c>
      <c r="G576" s="306" t="s">
        <v>2606</v>
      </c>
      <c r="H576" s="306" t="s">
        <v>2629</v>
      </c>
      <c r="I576" s="306" t="s">
        <v>2630</v>
      </c>
      <c r="J576" s="304" t="s">
        <v>97</v>
      </c>
      <c r="K576" s="307">
        <v>43374</v>
      </c>
      <c r="L576" s="307">
        <v>44270</v>
      </c>
      <c r="M576" s="306" t="s">
        <v>205</v>
      </c>
      <c r="N576" s="304" t="s">
        <v>90</v>
      </c>
      <c r="O576" s="306" t="s">
        <v>71</v>
      </c>
      <c r="P576" s="304">
        <v>1</v>
      </c>
      <c r="Q576" s="304">
        <v>1</v>
      </c>
      <c r="R576" s="304">
        <v>0</v>
      </c>
      <c r="S576" s="308">
        <v>1</v>
      </c>
    </row>
    <row r="577" spans="1:19" ht="48">
      <c r="A577" s="303">
        <v>572</v>
      </c>
      <c r="B577" s="304">
        <v>796</v>
      </c>
      <c r="C577" s="305" t="s">
        <v>720</v>
      </c>
      <c r="D577" s="306" t="s">
        <v>721</v>
      </c>
      <c r="E577" s="305" t="s">
        <v>838</v>
      </c>
      <c r="F577" s="306" t="s">
        <v>73</v>
      </c>
      <c r="G577" s="306" t="s">
        <v>2606</v>
      </c>
      <c r="H577" s="306" t="s">
        <v>2631</v>
      </c>
      <c r="I577" s="306" t="s">
        <v>2632</v>
      </c>
      <c r="J577" s="304" t="s">
        <v>97</v>
      </c>
      <c r="K577" s="307">
        <v>43374</v>
      </c>
      <c r="L577" s="307">
        <v>44105</v>
      </c>
      <c r="M577" s="306" t="s">
        <v>89</v>
      </c>
      <c r="N577" s="304" t="s">
        <v>90</v>
      </c>
      <c r="O577" s="306" t="s">
        <v>71</v>
      </c>
      <c r="P577" s="304">
        <v>1</v>
      </c>
      <c r="Q577" s="304">
        <v>1</v>
      </c>
      <c r="R577" s="304">
        <v>0</v>
      </c>
      <c r="S577" s="308">
        <v>1</v>
      </c>
    </row>
    <row r="578" spans="1:19" ht="48">
      <c r="A578" s="303">
        <v>573</v>
      </c>
      <c r="B578" s="304">
        <v>797</v>
      </c>
      <c r="C578" s="305" t="s">
        <v>720</v>
      </c>
      <c r="D578" s="306" t="s">
        <v>721</v>
      </c>
      <c r="E578" s="305" t="s">
        <v>838</v>
      </c>
      <c r="F578" s="306" t="s">
        <v>73</v>
      </c>
      <c r="G578" s="306" t="s">
        <v>2606</v>
      </c>
      <c r="H578" s="306" t="s">
        <v>1262</v>
      </c>
      <c r="I578" s="306" t="s">
        <v>2633</v>
      </c>
      <c r="J578" s="304" t="s">
        <v>97</v>
      </c>
      <c r="K578" s="307">
        <v>43374</v>
      </c>
      <c r="L578" s="307">
        <v>44286</v>
      </c>
      <c r="M578" s="306" t="s">
        <v>89</v>
      </c>
      <c r="N578" s="304" t="s">
        <v>90</v>
      </c>
      <c r="O578" s="306" t="s">
        <v>71</v>
      </c>
      <c r="P578" s="304">
        <v>1</v>
      </c>
      <c r="Q578" s="304">
        <v>1</v>
      </c>
      <c r="R578" s="304">
        <v>0</v>
      </c>
      <c r="S578" s="308">
        <v>1</v>
      </c>
    </row>
    <row r="579" spans="1:19" ht="60">
      <c r="A579" s="303">
        <v>574</v>
      </c>
      <c r="B579" s="304">
        <v>798</v>
      </c>
      <c r="C579" s="305" t="s">
        <v>720</v>
      </c>
      <c r="D579" s="306" t="s">
        <v>721</v>
      </c>
      <c r="E579" s="305" t="s">
        <v>838</v>
      </c>
      <c r="F579" s="306" t="s">
        <v>73</v>
      </c>
      <c r="G579" s="306" t="s">
        <v>2606</v>
      </c>
      <c r="H579" s="306" t="s">
        <v>1263</v>
      </c>
      <c r="I579" s="306" t="s">
        <v>2634</v>
      </c>
      <c r="J579" s="304" t="s">
        <v>97</v>
      </c>
      <c r="K579" s="307">
        <v>43374</v>
      </c>
      <c r="L579" s="307">
        <v>44835</v>
      </c>
      <c r="M579" s="306" t="s">
        <v>211</v>
      </c>
      <c r="N579" s="304" t="s">
        <v>90</v>
      </c>
      <c r="O579" s="306" t="s">
        <v>71</v>
      </c>
      <c r="P579" s="304">
        <v>1</v>
      </c>
      <c r="Q579" s="304">
        <v>1</v>
      </c>
      <c r="R579" s="304">
        <v>0</v>
      </c>
      <c r="S579" s="308">
        <v>1</v>
      </c>
    </row>
    <row r="580" spans="1:19" ht="48">
      <c r="A580" s="303">
        <v>575</v>
      </c>
      <c r="B580" s="304">
        <v>799</v>
      </c>
      <c r="C580" s="305" t="s">
        <v>720</v>
      </c>
      <c r="D580" s="306" t="s">
        <v>721</v>
      </c>
      <c r="E580" s="305" t="s">
        <v>838</v>
      </c>
      <c r="F580" s="306" t="s">
        <v>73</v>
      </c>
      <c r="G580" s="306" t="s">
        <v>2606</v>
      </c>
      <c r="H580" s="306" t="s">
        <v>1267</v>
      </c>
      <c r="I580" s="306" t="s">
        <v>2635</v>
      </c>
      <c r="J580" s="304" t="s">
        <v>97</v>
      </c>
      <c r="K580" s="307">
        <v>43374</v>
      </c>
      <c r="L580" s="307">
        <v>44866</v>
      </c>
      <c r="M580" s="306" t="s">
        <v>89</v>
      </c>
      <c r="N580" s="304" t="s">
        <v>90</v>
      </c>
      <c r="O580" s="306" t="s">
        <v>71</v>
      </c>
      <c r="P580" s="304">
        <v>1</v>
      </c>
      <c r="Q580" s="304">
        <v>1</v>
      </c>
      <c r="R580" s="304">
        <v>0</v>
      </c>
      <c r="S580" s="308">
        <v>1</v>
      </c>
    </row>
    <row r="581" spans="1:19" ht="372">
      <c r="A581" s="303">
        <v>576</v>
      </c>
      <c r="B581" s="304">
        <v>800</v>
      </c>
      <c r="C581" s="305" t="s">
        <v>709</v>
      </c>
      <c r="D581" s="306" t="s">
        <v>710</v>
      </c>
      <c r="E581" s="305" t="s">
        <v>840</v>
      </c>
      <c r="F581" s="306" t="s">
        <v>56</v>
      </c>
      <c r="G581" s="306" t="s">
        <v>2636</v>
      </c>
      <c r="H581" s="306" t="s">
        <v>2637</v>
      </c>
      <c r="I581" s="306" t="s">
        <v>2638</v>
      </c>
      <c r="J581" s="304" t="s">
        <v>87</v>
      </c>
      <c r="K581" s="307">
        <v>43466</v>
      </c>
      <c r="L581" s="309">
        <v>44196</v>
      </c>
      <c r="M581" s="306" t="s">
        <v>95</v>
      </c>
      <c r="N581" s="304" t="s">
        <v>96</v>
      </c>
      <c r="O581" s="306" t="s">
        <v>57</v>
      </c>
      <c r="P581" s="304">
        <v>0</v>
      </c>
      <c r="Q581" s="304">
        <v>0</v>
      </c>
      <c r="R581" s="304">
        <v>1</v>
      </c>
      <c r="S581" s="308">
        <v>0</v>
      </c>
    </row>
    <row r="582" spans="1:19" ht="284">
      <c r="A582" s="303">
        <v>577</v>
      </c>
      <c r="B582" s="304">
        <v>801</v>
      </c>
      <c r="C582" s="305" t="s">
        <v>709</v>
      </c>
      <c r="D582" s="306" t="s">
        <v>710</v>
      </c>
      <c r="E582" s="305" t="s">
        <v>840</v>
      </c>
      <c r="F582" s="306" t="s">
        <v>56</v>
      </c>
      <c r="G582" s="306" t="s">
        <v>2636</v>
      </c>
      <c r="H582" s="306" t="s">
        <v>2639</v>
      </c>
      <c r="I582" s="306" t="s">
        <v>2640</v>
      </c>
      <c r="J582" s="304" t="s">
        <v>87</v>
      </c>
      <c r="K582" s="307">
        <v>43466</v>
      </c>
      <c r="L582" s="309">
        <v>43830</v>
      </c>
      <c r="M582" s="306" t="s">
        <v>439</v>
      </c>
      <c r="N582" s="304" t="s">
        <v>96</v>
      </c>
      <c r="O582" s="306" t="s">
        <v>57</v>
      </c>
      <c r="P582" s="304">
        <v>0</v>
      </c>
      <c r="Q582" s="304">
        <v>0</v>
      </c>
      <c r="R582" s="304">
        <v>1</v>
      </c>
      <c r="S582" s="308">
        <v>0</v>
      </c>
    </row>
    <row r="583" spans="1:19" ht="284">
      <c r="A583" s="303">
        <v>578</v>
      </c>
      <c r="B583" s="304">
        <v>802</v>
      </c>
      <c r="C583" s="305" t="s">
        <v>709</v>
      </c>
      <c r="D583" s="306" t="s">
        <v>710</v>
      </c>
      <c r="E583" s="305" t="s">
        <v>840</v>
      </c>
      <c r="F583" s="306" t="s">
        <v>56</v>
      </c>
      <c r="G583" s="306" t="s">
        <v>2636</v>
      </c>
      <c r="H583" s="306" t="s">
        <v>2641</v>
      </c>
      <c r="I583" s="306" t="s">
        <v>2642</v>
      </c>
      <c r="J583" s="304" t="s">
        <v>87</v>
      </c>
      <c r="K583" s="307">
        <v>43466</v>
      </c>
      <c r="L583" s="309">
        <v>44196</v>
      </c>
      <c r="M583" s="306" t="s">
        <v>205</v>
      </c>
      <c r="N583" s="304" t="s">
        <v>96</v>
      </c>
      <c r="O583" s="306" t="s">
        <v>71</v>
      </c>
      <c r="P583" s="304">
        <v>0</v>
      </c>
      <c r="Q583" s="304">
        <v>0</v>
      </c>
      <c r="R583" s="304">
        <v>1</v>
      </c>
      <c r="S583" s="308">
        <v>0</v>
      </c>
    </row>
    <row r="584" spans="1:19" ht="284">
      <c r="A584" s="303">
        <v>579</v>
      </c>
      <c r="B584" s="304">
        <v>803</v>
      </c>
      <c r="C584" s="305" t="s">
        <v>709</v>
      </c>
      <c r="D584" s="306" t="s">
        <v>710</v>
      </c>
      <c r="E584" s="305" t="s">
        <v>840</v>
      </c>
      <c r="F584" s="306" t="s">
        <v>56</v>
      </c>
      <c r="G584" s="306" t="s">
        <v>2636</v>
      </c>
      <c r="H584" s="306" t="s">
        <v>2643</v>
      </c>
      <c r="I584" s="306" t="s">
        <v>2644</v>
      </c>
      <c r="J584" s="304" t="s">
        <v>87</v>
      </c>
      <c r="K584" s="307">
        <v>43466</v>
      </c>
      <c r="L584" s="309">
        <v>44561</v>
      </c>
      <c r="M584" s="306" t="s">
        <v>205</v>
      </c>
      <c r="N584" s="304" t="s">
        <v>96</v>
      </c>
      <c r="O584" s="306" t="s">
        <v>57</v>
      </c>
      <c r="P584" s="304">
        <v>0</v>
      </c>
      <c r="Q584" s="304">
        <v>0</v>
      </c>
      <c r="R584" s="304">
        <v>1</v>
      </c>
      <c r="S584" s="308">
        <v>0</v>
      </c>
    </row>
    <row r="585" spans="1:19" ht="284">
      <c r="A585" s="303">
        <v>580</v>
      </c>
      <c r="B585" s="304">
        <v>804</v>
      </c>
      <c r="C585" s="305" t="s">
        <v>709</v>
      </c>
      <c r="D585" s="306" t="s">
        <v>710</v>
      </c>
      <c r="E585" s="305" t="s">
        <v>840</v>
      </c>
      <c r="F585" s="306" t="s">
        <v>56</v>
      </c>
      <c r="G585" s="306" t="s">
        <v>2636</v>
      </c>
      <c r="H585" s="306" t="s">
        <v>2645</v>
      </c>
      <c r="I585" s="306" t="s">
        <v>2646</v>
      </c>
      <c r="J585" s="304" t="s">
        <v>87</v>
      </c>
      <c r="K585" s="307">
        <v>43466</v>
      </c>
      <c r="L585" s="309">
        <v>44196</v>
      </c>
      <c r="M585" s="306" t="s">
        <v>221</v>
      </c>
      <c r="N585" s="304" t="s">
        <v>96</v>
      </c>
      <c r="O585" s="306" t="s">
        <v>55</v>
      </c>
      <c r="P585" s="304">
        <v>0</v>
      </c>
      <c r="Q585" s="304">
        <v>0</v>
      </c>
      <c r="R585" s="304">
        <v>1</v>
      </c>
      <c r="S585" s="308">
        <v>0</v>
      </c>
    </row>
    <row r="586" spans="1:19" ht="339">
      <c r="A586" s="303">
        <v>581</v>
      </c>
      <c r="B586" s="304">
        <v>805</v>
      </c>
      <c r="C586" s="305" t="s">
        <v>709</v>
      </c>
      <c r="D586" s="306" t="s">
        <v>710</v>
      </c>
      <c r="E586" s="305" t="s">
        <v>840</v>
      </c>
      <c r="F586" s="306" t="s">
        <v>56</v>
      </c>
      <c r="G586" s="306" t="s">
        <v>2636</v>
      </c>
      <c r="H586" s="306" t="s">
        <v>2647</v>
      </c>
      <c r="I586" s="306" t="s">
        <v>2648</v>
      </c>
      <c r="J586" s="304" t="s">
        <v>87</v>
      </c>
      <c r="K586" s="307">
        <v>43466</v>
      </c>
      <c r="L586" s="309">
        <v>44196</v>
      </c>
      <c r="M586" s="306" t="s">
        <v>208</v>
      </c>
      <c r="N586" s="304" t="s">
        <v>96</v>
      </c>
      <c r="O586" s="306" t="s">
        <v>55</v>
      </c>
      <c r="P586" s="304">
        <v>0</v>
      </c>
      <c r="Q586" s="304">
        <v>0</v>
      </c>
      <c r="R586" s="304">
        <v>1</v>
      </c>
      <c r="S586" s="308">
        <v>0</v>
      </c>
    </row>
    <row r="587" spans="1:19" ht="284">
      <c r="A587" s="303">
        <v>582</v>
      </c>
      <c r="B587" s="304">
        <v>806</v>
      </c>
      <c r="C587" s="305" t="s">
        <v>709</v>
      </c>
      <c r="D587" s="306" t="s">
        <v>710</v>
      </c>
      <c r="E587" s="305" t="s">
        <v>840</v>
      </c>
      <c r="F587" s="306" t="s">
        <v>56</v>
      </c>
      <c r="G587" s="306" t="s">
        <v>2636</v>
      </c>
      <c r="H587" s="306" t="s">
        <v>2649</v>
      </c>
      <c r="I587" s="306" t="s">
        <v>2650</v>
      </c>
      <c r="J587" s="304" t="s">
        <v>87</v>
      </c>
      <c r="K587" s="307">
        <v>43466</v>
      </c>
      <c r="L587" s="309">
        <v>44561</v>
      </c>
      <c r="M587" s="306" t="s">
        <v>205</v>
      </c>
      <c r="N587" s="304" t="s">
        <v>96</v>
      </c>
      <c r="O587" s="306" t="s">
        <v>57</v>
      </c>
      <c r="P587" s="304">
        <v>0</v>
      </c>
      <c r="Q587" s="304">
        <v>0</v>
      </c>
      <c r="R587" s="304">
        <v>1</v>
      </c>
      <c r="S587" s="308">
        <v>0</v>
      </c>
    </row>
    <row r="588" spans="1:19" ht="284">
      <c r="A588" s="303">
        <v>583</v>
      </c>
      <c r="B588" s="304">
        <v>807</v>
      </c>
      <c r="C588" s="305" t="s">
        <v>709</v>
      </c>
      <c r="D588" s="306" t="s">
        <v>710</v>
      </c>
      <c r="E588" s="305" t="s">
        <v>840</v>
      </c>
      <c r="F588" s="306" t="s">
        <v>56</v>
      </c>
      <c r="G588" s="306" t="s">
        <v>2636</v>
      </c>
      <c r="H588" s="306" t="s">
        <v>2651</v>
      </c>
      <c r="I588" s="306" t="s">
        <v>2652</v>
      </c>
      <c r="J588" s="304" t="s">
        <v>87</v>
      </c>
      <c r="K588" s="307">
        <v>43466</v>
      </c>
      <c r="L588" s="309">
        <v>44561</v>
      </c>
      <c r="M588" s="306" t="s">
        <v>205</v>
      </c>
      <c r="N588" s="304" t="s">
        <v>96</v>
      </c>
      <c r="O588" s="306" t="s">
        <v>57</v>
      </c>
      <c r="P588" s="304">
        <v>0</v>
      </c>
      <c r="Q588" s="304">
        <v>0</v>
      </c>
      <c r="R588" s="304">
        <v>1</v>
      </c>
      <c r="S588" s="308">
        <v>0</v>
      </c>
    </row>
    <row r="589" spans="1:19" ht="409.6">
      <c r="A589" s="303">
        <v>584</v>
      </c>
      <c r="B589" s="304">
        <v>808</v>
      </c>
      <c r="C589" s="305" t="s">
        <v>709</v>
      </c>
      <c r="D589" s="306" t="s">
        <v>710</v>
      </c>
      <c r="E589" s="305" t="s">
        <v>840</v>
      </c>
      <c r="F589" s="306" t="s">
        <v>56</v>
      </c>
      <c r="G589" s="306" t="s">
        <v>2636</v>
      </c>
      <c r="H589" s="306" t="s">
        <v>2653</v>
      </c>
      <c r="I589" s="306" t="s">
        <v>2654</v>
      </c>
      <c r="J589" s="304" t="s">
        <v>87</v>
      </c>
      <c r="K589" s="307">
        <v>43466</v>
      </c>
      <c r="L589" s="309">
        <v>44561</v>
      </c>
      <c r="M589" s="306" t="s">
        <v>99</v>
      </c>
      <c r="N589" s="304" t="s">
        <v>96</v>
      </c>
      <c r="O589" s="306" t="s">
        <v>57</v>
      </c>
      <c r="P589" s="304">
        <v>0</v>
      </c>
      <c r="Q589" s="304">
        <v>0</v>
      </c>
      <c r="R589" s="304">
        <v>1</v>
      </c>
      <c r="S589" s="308">
        <v>0</v>
      </c>
    </row>
    <row r="590" spans="1:19" ht="284">
      <c r="A590" s="303">
        <v>585</v>
      </c>
      <c r="B590" s="304">
        <v>809</v>
      </c>
      <c r="C590" s="305" t="s">
        <v>709</v>
      </c>
      <c r="D590" s="306" t="s">
        <v>710</v>
      </c>
      <c r="E590" s="305" t="s">
        <v>840</v>
      </c>
      <c r="F590" s="306" t="s">
        <v>56</v>
      </c>
      <c r="G590" s="306" t="s">
        <v>2636</v>
      </c>
      <c r="H590" s="306" t="s">
        <v>2655</v>
      </c>
      <c r="I590" s="306" t="s">
        <v>2656</v>
      </c>
      <c r="J590" s="304" t="s">
        <v>87</v>
      </c>
      <c r="K590" s="307">
        <v>43466</v>
      </c>
      <c r="L590" s="309">
        <v>44561</v>
      </c>
      <c r="M590" s="306" t="s">
        <v>209</v>
      </c>
      <c r="N590" s="304" t="s">
        <v>90</v>
      </c>
      <c r="O590" s="306" t="s">
        <v>55</v>
      </c>
      <c r="P590" s="304">
        <v>0</v>
      </c>
      <c r="Q590" s="304">
        <v>0</v>
      </c>
      <c r="R590" s="304">
        <v>1</v>
      </c>
      <c r="S590" s="308">
        <v>0</v>
      </c>
    </row>
    <row r="591" spans="1:19" ht="284">
      <c r="A591" s="303">
        <v>586</v>
      </c>
      <c r="B591" s="304">
        <v>810</v>
      </c>
      <c r="C591" s="305" t="s">
        <v>709</v>
      </c>
      <c r="D591" s="306" t="s">
        <v>710</v>
      </c>
      <c r="E591" s="305" t="s">
        <v>840</v>
      </c>
      <c r="F591" s="306" t="s">
        <v>56</v>
      </c>
      <c r="G591" s="306" t="s">
        <v>2636</v>
      </c>
      <c r="H591" s="306" t="s">
        <v>2657</v>
      </c>
      <c r="I591" s="306" t="s">
        <v>2658</v>
      </c>
      <c r="J591" s="304" t="s">
        <v>87</v>
      </c>
      <c r="K591" s="307">
        <v>43466</v>
      </c>
      <c r="L591" s="309">
        <v>44926</v>
      </c>
      <c r="M591" s="306" t="s">
        <v>205</v>
      </c>
      <c r="N591" s="304" t="s">
        <v>96</v>
      </c>
      <c r="O591" s="306" t="s">
        <v>57</v>
      </c>
      <c r="P591" s="304">
        <v>0</v>
      </c>
      <c r="Q591" s="304">
        <v>0</v>
      </c>
      <c r="R591" s="304">
        <v>1</v>
      </c>
      <c r="S591" s="308">
        <v>0</v>
      </c>
    </row>
    <row r="592" spans="1:19" ht="361">
      <c r="A592" s="303">
        <v>587</v>
      </c>
      <c r="B592" s="304">
        <v>811</v>
      </c>
      <c r="C592" s="305" t="s">
        <v>709</v>
      </c>
      <c r="D592" s="306" t="s">
        <v>710</v>
      </c>
      <c r="E592" s="305" t="s">
        <v>840</v>
      </c>
      <c r="F592" s="306" t="s">
        <v>56</v>
      </c>
      <c r="G592" s="306" t="s">
        <v>2636</v>
      </c>
      <c r="H592" s="306" t="s">
        <v>2659</v>
      </c>
      <c r="I592" s="306" t="s">
        <v>2660</v>
      </c>
      <c r="J592" s="304" t="s">
        <v>87</v>
      </c>
      <c r="K592" s="307">
        <v>43466</v>
      </c>
      <c r="L592" s="309">
        <v>45657</v>
      </c>
      <c r="M592" s="306" t="s">
        <v>205</v>
      </c>
      <c r="N592" s="304" t="s">
        <v>96</v>
      </c>
      <c r="O592" s="306" t="s">
        <v>71</v>
      </c>
      <c r="P592" s="304">
        <v>0</v>
      </c>
      <c r="Q592" s="304">
        <v>0</v>
      </c>
      <c r="R592" s="304">
        <v>1</v>
      </c>
      <c r="S592" s="308">
        <v>0</v>
      </c>
    </row>
    <row r="593" spans="1:19" ht="409.6">
      <c r="A593" s="303">
        <v>588</v>
      </c>
      <c r="B593" s="304">
        <v>812</v>
      </c>
      <c r="C593" s="305" t="s">
        <v>709</v>
      </c>
      <c r="D593" s="306" t="s">
        <v>710</v>
      </c>
      <c r="E593" s="305" t="s">
        <v>840</v>
      </c>
      <c r="F593" s="306" t="s">
        <v>56</v>
      </c>
      <c r="G593" s="306" t="s">
        <v>2661</v>
      </c>
      <c r="H593" s="306" t="s">
        <v>2662</v>
      </c>
      <c r="I593" s="306" t="s">
        <v>2663</v>
      </c>
      <c r="J593" s="304" t="s">
        <v>87</v>
      </c>
      <c r="K593" s="307">
        <v>43466</v>
      </c>
      <c r="L593" s="307">
        <v>43495</v>
      </c>
      <c r="M593" s="306" t="s">
        <v>89</v>
      </c>
      <c r="N593" s="304" t="s">
        <v>90</v>
      </c>
      <c r="O593" s="306" t="s">
        <v>55</v>
      </c>
      <c r="P593" s="304">
        <v>0</v>
      </c>
      <c r="Q593" s="304">
        <v>0</v>
      </c>
      <c r="R593" s="304">
        <v>1</v>
      </c>
      <c r="S593" s="308">
        <v>0</v>
      </c>
    </row>
    <row r="594" spans="1:19" ht="328">
      <c r="A594" s="303">
        <v>589</v>
      </c>
      <c r="B594" s="304">
        <v>813</v>
      </c>
      <c r="C594" s="305" t="s">
        <v>709</v>
      </c>
      <c r="D594" s="306" t="s">
        <v>710</v>
      </c>
      <c r="E594" s="305" t="s">
        <v>840</v>
      </c>
      <c r="F594" s="306" t="s">
        <v>56</v>
      </c>
      <c r="G594" s="306" t="s">
        <v>2661</v>
      </c>
      <c r="H594" s="306" t="s">
        <v>2665</v>
      </c>
      <c r="I594" s="306" t="s">
        <v>2666</v>
      </c>
      <c r="J594" s="304" t="s">
        <v>87</v>
      </c>
      <c r="K594" s="307">
        <v>43466</v>
      </c>
      <c r="L594" s="307">
        <v>43615</v>
      </c>
      <c r="M594" s="306" t="s">
        <v>98</v>
      </c>
      <c r="N594" s="304" t="s">
        <v>96</v>
      </c>
      <c r="O594" s="306" t="s">
        <v>55</v>
      </c>
      <c r="P594" s="304">
        <v>0</v>
      </c>
      <c r="Q594" s="304">
        <v>0</v>
      </c>
      <c r="R594" s="304">
        <v>1</v>
      </c>
      <c r="S594" s="308">
        <v>0</v>
      </c>
    </row>
    <row r="595" spans="1:19" ht="317">
      <c r="A595" s="303">
        <v>590</v>
      </c>
      <c r="B595" s="304">
        <v>814</v>
      </c>
      <c r="C595" s="305" t="s">
        <v>709</v>
      </c>
      <c r="D595" s="306" t="s">
        <v>710</v>
      </c>
      <c r="E595" s="305" t="s">
        <v>840</v>
      </c>
      <c r="F595" s="306" t="s">
        <v>56</v>
      </c>
      <c r="G595" s="306" t="s">
        <v>2661</v>
      </c>
      <c r="H595" s="306" t="s">
        <v>2664</v>
      </c>
      <c r="I595" s="306" t="s">
        <v>2667</v>
      </c>
      <c r="J595" s="304" t="s">
        <v>87</v>
      </c>
      <c r="K595" s="307">
        <v>43466</v>
      </c>
      <c r="L595" s="309">
        <v>45657</v>
      </c>
      <c r="M595" s="306" t="s">
        <v>205</v>
      </c>
      <c r="N595" s="304" t="s">
        <v>96</v>
      </c>
      <c r="O595" s="306" t="s">
        <v>55</v>
      </c>
      <c r="P595" s="304">
        <v>0</v>
      </c>
      <c r="Q595" s="304">
        <v>0</v>
      </c>
      <c r="R595" s="304">
        <v>1</v>
      </c>
      <c r="S595" s="308">
        <v>0</v>
      </c>
    </row>
    <row r="596" spans="1:19" ht="180">
      <c r="A596" s="303">
        <v>591</v>
      </c>
      <c r="B596" s="304">
        <v>815</v>
      </c>
      <c r="C596" s="305" t="s">
        <v>709</v>
      </c>
      <c r="D596" s="306" t="s">
        <v>710</v>
      </c>
      <c r="E596" s="305" t="s">
        <v>840</v>
      </c>
      <c r="F596" s="306" t="s">
        <v>56</v>
      </c>
      <c r="G596" s="306" t="s">
        <v>2661</v>
      </c>
      <c r="H596" s="306" t="s">
        <v>2668</v>
      </c>
      <c r="I596" s="306" t="s">
        <v>2669</v>
      </c>
      <c r="J596" s="304" t="s">
        <v>87</v>
      </c>
      <c r="K596" s="307">
        <v>43466</v>
      </c>
      <c r="L596" s="309">
        <v>45657</v>
      </c>
      <c r="M596" s="306" t="s">
        <v>439</v>
      </c>
      <c r="N596" s="304" t="s">
        <v>90</v>
      </c>
      <c r="O596" s="306" t="s">
        <v>71</v>
      </c>
      <c r="P596" s="304">
        <v>0</v>
      </c>
      <c r="Q596" s="304">
        <v>0</v>
      </c>
      <c r="R596" s="304">
        <v>1</v>
      </c>
      <c r="S596" s="308">
        <v>0</v>
      </c>
    </row>
    <row r="597" spans="1:19" ht="295">
      <c r="A597" s="303">
        <v>592</v>
      </c>
      <c r="B597" s="304">
        <v>816</v>
      </c>
      <c r="C597" s="305" t="s">
        <v>709</v>
      </c>
      <c r="D597" s="306" t="s">
        <v>710</v>
      </c>
      <c r="E597" s="305" t="s">
        <v>840</v>
      </c>
      <c r="F597" s="306" t="s">
        <v>56</v>
      </c>
      <c r="G597" s="306" t="s">
        <v>2661</v>
      </c>
      <c r="H597" s="306" t="s">
        <v>2670</v>
      </c>
      <c r="I597" s="306" t="s">
        <v>2671</v>
      </c>
      <c r="J597" s="304" t="s">
        <v>87</v>
      </c>
      <c r="K597" s="307">
        <v>43466</v>
      </c>
      <c r="L597" s="309">
        <v>45657</v>
      </c>
      <c r="M597" s="306" t="s">
        <v>205</v>
      </c>
      <c r="N597" s="304" t="s">
        <v>90</v>
      </c>
      <c r="O597" s="306" t="s">
        <v>55</v>
      </c>
      <c r="P597" s="304">
        <v>0</v>
      </c>
      <c r="Q597" s="304">
        <v>0</v>
      </c>
      <c r="R597" s="304">
        <v>1</v>
      </c>
      <c r="S597" s="308">
        <v>0</v>
      </c>
    </row>
    <row r="598" spans="1:19" ht="72">
      <c r="A598" s="303">
        <v>593</v>
      </c>
      <c r="B598" s="304">
        <v>817</v>
      </c>
      <c r="C598" s="305" t="s">
        <v>709</v>
      </c>
      <c r="D598" s="306" t="s">
        <v>710</v>
      </c>
      <c r="E598" s="305" t="s">
        <v>840</v>
      </c>
      <c r="F598" s="306" t="s">
        <v>56</v>
      </c>
      <c r="G598" s="306" t="s">
        <v>2672</v>
      </c>
      <c r="H598" s="306" t="s">
        <v>2673</v>
      </c>
      <c r="I598" s="306" t="s">
        <v>2674</v>
      </c>
      <c r="J598" s="304" t="s">
        <v>87</v>
      </c>
      <c r="K598" s="307">
        <v>43466</v>
      </c>
      <c r="L598" s="309">
        <v>45657</v>
      </c>
      <c r="M598" s="306" t="s">
        <v>214</v>
      </c>
      <c r="N598" s="304" t="s">
        <v>96</v>
      </c>
      <c r="O598" s="306" t="s">
        <v>71</v>
      </c>
      <c r="P598" s="304">
        <v>0</v>
      </c>
      <c r="Q598" s="304">
        <v>0</v>
      </c>
      <c r="R598" s="304">
        <v>1</v>
      </c>
      <c r="S598" s="308">
        <v>0</v>
      </c>
    </row>
    <row r="599" spans="1:19" ht="409.6">
      <c r="A599" s="303">
        <v>594</v>
      </c>
      <c r="B599" s="304">
        <v>818</v>
      </c>
      <c r="C599" s="305" t="s">
        <v>709</v>
      </c>
      <c r="D599" s="306" t="s">
        <v>710</v>
      </c>
      <c r="E599" s="305" t="s">
        <v>840</v>
      </c>
      <c r="F599" s="306" t="s">
        <v>56</v>
      </c>
      <c r="G599" s="306" t="s">
        <v>2672</v>
      </c>
      <c r="H599" s="306" t="s">
        <v>2675</v>
      </c>
      <c r="I599" s="306" t="s">
        <v>2676</v>
      </c>
      <c r="J599" s="304" t="s">
        <v>87</v>
      </c>
      <c r="K599" s="307">
        <v>43466</v>
      </c>
      <c r="L599" s="309">
        <v>45657</v>
      </c>
      <c r="M599" s="306" t="s">
        <v>221</v>
      </c>
      <c r="N599" s="304" t="s">
        <v>96</v>
      </c>
      <c r="O599" s="306" t="s">
        <v>71</v>
      </c>
      <c r="P599" s="304">
        <v>0</v>
      </c>
      <c r="Q599" s="304">
        <v>0</v>
      </c>
      <c r="R599" s="304">
        <v>1</v>
      </c>
      <c r="S599" s="308">
        <v>0</v>
      </c>
    </row>
    <row r="600" spans="1:19" ht="409.6">
      <c r="A600" s="303">
        <v>595</v>
      </c>
      <c r="B600" s="304">
        <v>819</v>
      </c>
      <c r="C600" s="305" t="s">
        <v>709</v>
      </c>
      <c r="D600" s="306" t="s">
        <v>710</v>
      </c>
      <c r="E600" s="305" t="s">
        <v>842</v>
      </c>
      <c r="F600" s="306" t="s">
        <v>45</v>
      </c>
      <c r="G600" s="306" t="s">
        <v>2677</v>
      </c>
      <c r="H600" s="306" t="s">
        <v>2678</v>
      </c>
      <c r="I600" s="306" t="s">
        <v>2679</v>
      </c>
      <c r="J600" s="304" t="s">
        <v>87</v>
      </c>
      <c r="K600" s="307">
        <v>43466</v>
      </c>
      <c r="L600" s="307">
        <v>43647</v>
      </c>
      <c r="M600" s="306" t="s">
        <v>89</v>
      </c>
      <c r="N600" s="304" t="s">
        <v>96</v>
      </c>
      <c r="O600" s="306" t="s">
        <v>55</v>
      </c>
      <c r="P600" s="304">
        <v>0</v>
      </c>
      <c r="Q600" s="304">
        <v>0</v>
      </c>
      <c r="R600" s="304">
        <v>1</v>
      </c>
      <c r="S600" s="308">
        <v>0</v>
      </c>
    </row>
    <row r="601" spans="1:19" ht="328">
      <c r="A601" s="303">
        <v>596</v>
      </c>
      <c r="B601" s="304">
        <v>820</v>
      </c>
      <c r="C601" s="305" t="s">
        <v>709</v>
      </c>
      <c r="D601" s="306" t="s">
        <v>710</v>
      </c>
      <c r="E601" s="305" t="s">
        <v>842</v>
      </c>
      <c r="F601" s="306" t="s">
        <v>45</v>
      </c>
      <c r="G601" s="306" t="s">
        <v>2677</v>
      </c>
      <c r="H601" s="306" t="s">
        <v>2680</v>
      </c>
      <c r="I601" s="306" t="s">
        <v>2681</v>
      </c>
      <c r="J601" s="304" t="s">
        <v>87</v>
      </c>
      <c r="K601" s="307">
        <v>43466</v>
      </c>
      <c r="L601" s="309">
        <v>45657</v>
      </c>
      <c r="M601" s="306" t="s">
        <v>99</v>
      </c>
      <c r="N601" s="304" t="s">
        <v>96</v>
      </c>
      <c r="O601" s="306" t="s">
        <v>51</v>
      </c>
      <c r="P601" s="304">
        <v>0</v>
      </c>
      <c r="Q601" s="304">
        <v>0</v>
      </c>
      <c r="R601" s="304">
        <v>1</v>
      </c>
      <c r="S601" s="308">
        <v>0</v>
      </c>
    </row>
    <row r="602" spans="1:19" ht="405">
      <c r="A602" s="303">
        <v>597</v>
      </c>
      <c r="B602" s="304">
        <v>821</v>
      </c>
      <c r="C602" s="305" t="s">
        <v>709</v>
      </c>
      <c r="D602" s="306" t="s">
        <v>710</v>
      </c>
      <c r="E602" s="305" t="s">
        <v>842</v>
      </c>
      <c r="F602" s="306" t="s">
        <v>45</v>
      </c>
      <c r="G602" s="306" t="s">
        <v>2677</v>
      </c>
      <c r="H602" s="306" t="s">
        <v>2682</v>
      </c>
      <c r="I602" s="306" t="s">
        <v>2683</v>
      </c>
      <c r="J602" s="304" t="s">
        <v>87</v>
      </c>
      <c r="K602" s="307">
        <v>43466</v>
      </c>
      <c r="L602" s="309">
        <v>45657</v>
      </c>
      <c r="M602" s="306" t="s">
        <v>439</v>
      </c>
      <c r="N602" s="304" t="s">
        <v>90</v>
      </c>
      <c r="O602" s="306" t="s">
        <v>51</v>
      </c>
      <c r="P602" s="304">
        <v>0</v>
      </c>
      <c r="Q602" s="304">
        <v>0</v>
      </c>
      <c r="R602" s="304">
        <v>1</v>
      </c>
      <c r="S602" s="308">
        <v>0</v>
      </c>
    </row>
    <row r="603" spans="1:19" ht="306">
      <c r="A603" s="303">
        <v>598</v>
      </c>
      <c r="B603" s="304">
        <v>822</v>
      </c>
      <c r="C603" s="305" t="s">
        <v>709</v>
      </c>
      <c r="D603" s="306" t="s">
        <v>710</v>
      </c>
      <c r="E603" s="305" t="s">
        <v>842</v>
      </c>
      <c r="F603" s="306" t="s">
        <v>45</v>
      </c>
      <c r="G603" s="306" t="s">
        <v>2677</v>
      </c>
      <c r="H603" s="306" t="s">
        <v>2684</v>
      </c>
      <c r="I603" s="306" t="s">
        <v>2685</v>
      </c>
      <c r="J603" s="304" t="s">
        <v>87</v>
      </c>
      <c r="K603" s="307">
        <v>43466</v>
      </c>
      <c r="L603" s="309">
        <v>45657</v>
      </c>
      <c r="M603" s="306" t="s">
        <v>2317</v>
      </c>
      <c r="N603" s="304" t="s">
        <v>90</v>
      </c>
      <c r="O603" s="306" t="s">
        <v>51</v>
      </c>
      <c r="P603" s="304">
        <v>0</v>
      </c>
      <c r="Q603" s="304">
        <v>0</v>
      </c>
      <c r="R603" s="304">
        <v>1</v>
      </c>
      <c r="S603" s="308">
        <v>0</v>
      </c>
    </row>
    <row r="604" spans="1:19" ht="328">
      <c r="A604" s="303">
        <v>599</v>
      </c>
      <c r="B604" s="304">
        <v>823</v>
      </c>
      <c r="C604" s="305" t="s">
        <v>709</v>
      </c>
      <c r="D604" s="306" t="s">
        <v>710</v>
      </c>
      <c r="E604" s="305" t="s">
        <v>842</v>
      </c>
      <c r="F604" s="306" t="s">
        <v>45</v>
      </c>
      <c r="G604" s="306" t="s">
        <v>2677</v>
      </c>
      <c r="H604" s="306" t="s">
        <v>2686</v>
      </c>
      <c r="I604" s="306" t="s">
        <v>2687</v>
      </c>
      <c r="J604" s="304" t="s">
        <v>87</v>
      </c>
      <c r="K604" s="307">
        <v>43466</v>
      </c>
      <c r="L604" s="309">
        <v>45657</v>
      </c>
      <c r="M604" s="306" t="s">
        <v>99</v>
      </c>
      <c r="N604" s="304" t="s">
        <v>90</v>
      </c>
      <c r="O604" s="306" t="s">
        <v>55</v>
      </c>
      <c r="P604" s="304">
        <v>0</v>
      </c>
      <c r="Q604" s="304">
        <v>0</v>
      </c>
      <c r="R604" s="304">
        <v>1</v>
      </c>
      <c r="S604" s="308">
        <v>0</v>
      </c>
    </row>
    <row r="605" spans="1:19" ht="409.6">
      <c r="A605" s="303">
        <v>600</v>
      </c>
      <c r="B605" s="304">
        <v>824</v>
      </c>
      <c r="C605" s="305" t="s">
        <v>709</v>
      </c>
      <c r="D605" s="306" t="s">
        <v>710</v>
      </c>
      <c r="E605" s="305" t="s">
        <v>842</v>
      </c>
      <c r="F605" s="306" t="s">
        <v>45</v>
      </c>
      <c r="G605" s="306" t="s">
        <v>2677</v>
      </c>
      <c r="H605" s="306" t="s">
        <v>2689</v>
      </c>
      <c r="I605" s="306" t="s">
        <v>2690</v>
      </c>
      <c r="J605" s="304" t="s">
        <v>87</v>
      </c>
      <c r="K605" s="307">
        <v>43466</v>
      </c>
      <c r="L605" s="309">
        <v>45657</v>
      </c>
      <c r="M605" s="306" t="s">
        <v>439</v>
      </c>
      <c r="N605" s="304" t="s">
        <v>90</v>
      </c>
      <c r="O605" s="306" t="s">
        <v>71</v>
      </c>
      <c r="P605" s="304">
        <v>0</v>
      </c>
      <c r="Q605" s="304">
        <v>0</v>
      </c>
      <c r="R605" s="304">
        <v>1</v>
      </c>
      <c r="S605" s="308">
        <v>0</v>
      </c>
    </row>
    <row r="606" spans="1:19" ht="317">
      <c r="A606" s="303">
        <v>601</v>
      </c>
      <c r="B606" s="304">
        <v>825</v>
      </c>
      <c r="C606" s="305" t="s">
        <v>709</v>
      </c>
      <c r="D606" s="306" t="s">
        <v>710</v>
      </c>
      <c r="E606" s="305" t="s">
        <v>842</v>
      </c>
      <c r="F606" s="306" t="s">
        <v>45</v>
      </c>
      <c r="G606" s="306" t="s">
        <v>2677</v>
      </c>
      <c r="H606" s="306" t="s">
        <v>2688</v>
      </c>
      <c r="I606" s="306" t="s">
        <v>2691</v>
      </c>
      <c r="J606" s="304" t="s">
        <v>87</v>
      </c>
      <c r="K606" s="307">
        <v>43466</v>
      </c>
      <c r="L606" s="309">
        <v>45657</v>
      </c>
      <c r="M606" s="306" t="s">
        <v>99</v>
      </c>
      <c r="N606" s="304" t="s">
        <v>96</v>
      </c>
      <c r="O606" s="306" t="s">
        <v>55</v>
      </c>
      <c r="P606" s="304">
        <v>0</v>
      </c>
      <c r="Q606" s="304">
        <v>0</v>
      </c>
      <c r="R606" s="304">
        <v>1</v>
      </c>
      <c r="S606" s="308">
        <v>0</v>
      </c>
    </row>
    <row r="607" spans="1:19" ht="409.6">
      <c r="A607" s="303">
        <v>602</v>
      </c>
      <c r="B607" s="304">
        <v>826</v>
      </c>
      <c r="C607" s="305" t="s">
        <v>709</v>
      </c>
      <c r="D607" s="306" t="s">
        <v>710</v>
      </c>
      <c r="E607" s="305" t="s">
        <v>844</v>
      </c>
      <c r="F607" s="306" t="s">
        <v>80</v>
      </c>
      <c r="G607" s="306" t="s">
        <v>2692</v>
      </c>
      <c r="H607" s="306" t="s">
        <v>2693</v>
      </c>
      <c r="I607" s="306" t="s">
        <v>2694</v>
      </c>
      <c r="J607" s="304" t="s">
        <v>87</v>
      </c>
      <c r="K607" s="307">
        <v>43466</v>
      </c>
      <c r="L607" s="307">
        <v>43647</v>
      </c>
      <c r="M607" s="306" t="s">
        <v>89</v>
      </c>
      <c r="N607" s="304" t="s">
        <v>96</v>
      </c>
      <c r="O607" s="306" t="s">
        <v>71</v>
      </c>
      <c r="P607" s="304">
        <v>0</v>
      </c>
      <c r="Q607" s="304">
        <v>0</v>
      </c>
      <c r="R607" s="304">
        <v>1</v>
      </c>
      <c r="S607" s="308">
        <v>0</v>
      </c>
    </row>
    <row r="608" spans="1:19" ht="409.6">
      <c r="A608" s="303">
        <v>603</v>
      </c>
      <c r="B608" s="304">
        <v>827</v>
      </c>
      <c r="C608" s="305" t="s">
        <v>709</v>
      </c>
      <c r="D608" s="306" t="s">
        <v>710</v>
      </c>
      <c r="E608" s="305" t="s">
        <v>844</v>
      </c>
      <c r="F608" s="306" t="s">
        <v>80</v>
      </c>
      <c r="G608" s="306" t="s">
        <v>2692</v>
      </c>
      <c r="H608" s="306" t="s">
        <v>2695</v>
      </c>
      <c r="I608" s="306" t="s">
        <v>2696</v>
      </c>
      <c r="J608" s="304" t="s">
        <v>87</v>
      </c>
      <c r="K608" s="307">
        <v>43466</v>
      </c>
      <c r="L608" s="309">
        <v>45657</v>
      </c>
      <c r="M608" s="306" t="s">
        <v>205</v>
      </c>
      <c r="N608" s="304" t="s">
        <v>96</v>
      </c>
      <c r="O608" s="306" t="s">
        <v>71</v>
      </c>
      <c r="P608" s="304">
        <v>0</v>
      </c>
      <c r="Q608" s="304">
        <v>0</v>
      </c>
      <c r="R608" s="304">
        <v>1</v>
      </c>
      <c r="S608" s="308">
        <v>0</v>
      </c>
    </row>
    <row r="609" spans="1:19" ht="228">
      <c r="A609" s="303">
        <v>604</v>
      </c>
      <c r="B609" s="304">
        <v>828</v>
      </c>
      <c r="C609" s="305" t="s">
        <v>709</v>
      </c>
      <c r="D609" s="306" t="s">
        <v>710</v>
      </c>
      <c r="E609" s="305" t="s">
        <v>844</v>
      </c>
      <c r="F609" s="306" t="s">
        <v>80</v>
      </c>
      <c r="G609" s="306" t="s">
        <v>2692</v>
      </c>
      <c r="H609" s="306" t="s">
        <v>2697</v>
      </c>
      <c r="I609" s="306" t="s">
        <v>2698</v>
      </c>
      <c r="J609" s="304" t="s">
        <v>87</v>
      </c>
      <c r="K609" s="307">
        <v>43466</v>
      </c>
      <c r="L609" s="309">
        <v>45657</v>
      </c>
      <c r="M609" s="306" t="s">
        <v>439</v>
      </c>
      <c r="N609" s="304" t="s">
        <v>90</v>
      </c>
      <c r="O609" s="306" t="s">
        <v>71</v>
      </c>
      <c r="P609" s="304">
        <v>0</v>
      </c>
      <c r="Q609" s="304">
        <v>0</v>
      </c>
      <c r="R609" s="304">
        <v>1</v>
      </c>
      <c r="S609" s="308">
        <v>0</v>
      </c>
    </row>
    <row r="610" spans="1:19" ht="284">
      <c r="A610" s="303">
        <v>605</v>
      </c>
      <c r="B610" s="304">
        <v>829</v>
      </c>
      <c r="C610" s="305" t="s">
        <v>709</v>
      </c>
      <c r="D610" s="306" t="s">
        <v>710</v>
      </c>
      <c r="E610" s="305" t="s">
        <v>844</v>
      </c>
      <c r="F610" s="306" t="s">
        <v>80</v>
      </c>
      <c r="G610" s="306" t="s">
        <v>2692</v>
      </c>
      <c r="H610" s="306" t="s">
        <v>2699</v>
      </c>
      <c r="I610" s="306" t="s">
        <v>2700</v>
      </c>
      <c r="J610" s="304" t="s">
        <v>87</v>
      </c>
      <c r="K610" s="307">
        <v>43466</v>
      </c>
      <c r="L610" s="309">
        <v>45657</v>
      </c>
      <c r="M610" s="306" t="s">
        <v>2317</v>
      </c>
      <c r="N610" s="304" t="s">
        <v>90</v>
      </c>
      <c r="O610" s="306" t="s">
        <v>71</v>
      </c>
      <c r="P610" s="304">
        <v>0</v>
      </c>
      <c r="Q610" s="304">
        <v>0</v>
      </c>
      <c r="R610" s="304">
        <v>1</v>
      </c>
      <c r="S610" s="308">
        <v>0</v>
      </c>
    </row>
    <row r="611" spans="1:19" ht="306">
      <c r="A611" s="303">
        <v>606</v>
      </c>
      <c r="B611" s="304">
        <v>830</v>
      </c>
      <c r="C611" s="305" t="s">
        <v>709</v>
      </c>
      <c r="D611" s="306" t="s">
        <v>710</v>
      </c>
      <c r="E611" s="305" t="s">
        <v>844</v>
      </c>
      <c r="F611" s="306" t="s">
        <v>80</v>
      </c>
      <c r="G611" s="306" t="s">
        <v>2692</v>
      </c>
      <c r="H611" s="306" t="s">
        <v>2701</v>
      </c>
      <c r="I611" s="306" t="s">
        <v>2702</v>
      </c>
      <c r="J611" s="304" t="s">
        <v>87</v>
      </c>
      <c r="K611" s="307">
        <v>43466</v>
      </c>
      <c r="L611" s="309">
        <v>45657</v>
      </c>
      <c r="M611" s="306" t="s">
        <v>95</v>
      </c>
      <c r="N611" s="304" t="s">
        <v>96</v>
      </c>
      <c r="O611" s="306" t="s">
        <v>71</v>
      </c>
      <c r="P611" s="304">
        <v>0</v>
      </c>
      <c r="Q611" s="304">
        <v>0</v>
      </c>
      <c r="R611" s="304">
        <v>1</v>
      </c>
      <c r="S611" s="308">
        <v>0</v>
      </c>
    </row>
    <row r="612" spans="1:19" ht="228">
      <c r="A612" s="303">
        <v>607</v>
      </c>
      <c r="B612" s="304">
        <v>831</v>
      </c>
      <c r="C612" s="305" t="s">
        <v>709</v>
      </c>
      <c r="D612" s="306" t="s">
        <v>710</v>
      </c>
      <c r="E612" s="305" t="s">
        <v>844</v>
      </c>
      <c r="F612" s="306" t="s">
        <v>80</v>
      </c>
      <c r="G612" s="306" t="s">
        <v>2692</v>
      </c>
      <c r="H612" s="306" t="s">
        <v>2703</v>
      </c>
      <c r="I612" s="306" t="s">
        <v>2704</v>
      </c>
      <c r="J612" s="304" t="s">
        <v>87</v>
      </c>
      <c r="K612" s="307">
        <v>43466</v>
      </c>
      <c r="L612" s="309">
        <v>45657</v>
      </c>
      <c r="M612" s="306" t="s">
        <v>98</v>
      </c>
      <c r="N612" s="304" t="s">
        <v>96</v>
      </c>
      <c r="O612" s="306" t="s">
        <v>71</v>
      </c>
      <c r="P612" s="304">
        <v>0</v>
      </c>
      <c r="Q612" s="304">
        <v>0</v>
      </c>
      <c r="R612" s="304">
        <v>1</v>
      </c>
      <c r="S612" s="308">
        <v>0</v>
      </c>
    </row>
    <row r="613" spans="1:19" ht="409.6">
      <c r="A613" s="303">
        <v>608</v>
      </c>
      <c r="B613" s="304">
        <v>832</v>
      </c>
      <c r="C613" s="305" t="s">
        <v>709</v>
      </c>
      <c r="D613" s="306" t="s">
        <v>710</v>
      </c>
      <c r="E613" s="305" t="s">
        <v>844</v>
      </c>
      <c r="F613" s="306" t="s">
        <v>80</v>
      </c>
      <c r="G613" s="306" t="s">
        <v>2692</v>
      </c>
      <c r="H613" s="306" t="s">
        <v>2705</v>
      </c>
      <c r="I613" s="306" t="s">
        <v>2706</v>
      </c>
      <c r="J613" s="304" t="s">
        <v>87</v>
      </c>
      <c r="K613" s="307">
        <v>43466</v>
      </c>
      <c r="L613" s="309">
        <v>45657</v>
      </c>
      <c r="M613" s="306" t="s">
        <v>214</v>
      </c>
      <c r="N613" s="304" t="s">
        <v>96</v>
      </c>
      <c r="O613" s="306" t="s">
        <v>71</v>
      </c>
      <c r="P613" s="304">
        <v>0</v>
      </c>
      <c r="Q613" s="304">
        <v>0</v>
      </c>
      <c r="R613" s="304">
        <v>1</v>
      </c>
      <c r="S613" s="308">
        <v>0</v>
      </c>
    </row>
    <row r="614" spans="1:19" ht="120">
      <c r="A614" s="303">
        <v>609</v>
      </c>
      <c r="B614" s="304">
        <v>833</v>
      </c>
      <c r="C614" s="305" t="s">
        <v>709</v>
      </c>
      <c r="D614" s="306" t="s">
        <v>710</v>
      </c>
      <c r="E614" s="305" t="s">
        <v>844</v>
      </c>
      <c r="F614" s="306" t="s">
        <v>80</v>
      </c>
      <c r="G614" s="306" t="s">
        <v>2692</v>
      </c>
      <c r="H614" s="306" t="s">
        <v>2707</v>
      </c>
      <c r="I614" s="306" t="s">
        <v>2708</v>
      </c>
      <c r="J614" s="304" t="s">
        <v>87</v>
      </c>
      <c r="K614" s="307">
        <v>43466</v>
      </c>
      <c r="L614" s="309">
        <v>45657</v>
      </c>
      <c r="M614" s="306" t="s">
        <v>99</v>
      </c>
      <c r="N614" s="304" t="s">
        <v>96</v>
      </c>
      <c r="O614" s="306" t="s">
        <v>71</v>
      </c>
      <c r="P614" s="304">
        <v>0</v>
      </c>
      <c r="Q614" s="304">
        <v>0</v>
      </c>
      <c r="R614" s="304">
        <v>1</v>
      </c>
      <c r="S614" s="308">
        <v>0</v>
      </c>
    </row>
    <row r="615" spans="1:19" ht="216">
      <c r="A615" s="303">
        <v>610</v>
      </c>
      <c r="B615" s="304">
        <v>834</v>
      </c>
      <c r="C615" s="305" t="s">
        <v>709</v>
      </c>
      <c r="D615" s="306" t="s">
        <v>710</v>
      </c>
      <c r="E615" s="305" t="s">
        <v>844</v>
      </c>
      <c r="F615" s="306" t="s">
        <v>80</v>
      </c>
      <c r="G615" s="306" t="s">
        <v>2692</v>
      </c>
      <c r="H615" s="306" t="s">
        <v>2709</v>
      </c>
      <c r="I615" s="306" t="s">
        <v>2710</v>
      </c>
      <c r="J615" s="304" t="s">
        <v>87</v>
      </c>
      <c r="K615" s="307">
        <v>43466</v>
      </c>
      <c r="L615" s="309">
        <v>45657</v>
      </c>
      <c r="M615" s="306" t="s">
        <v>98</v>
      </c>
      <c r="N615" s="304" t="s">
        <v>96</v>
      </c>
      <c r="O615" s="306" t="s">
        <v>71</v>
      </c>
      <c r="P615" s="304">
        <v>0</v>
      </c>
      <c r="Q615" s="304">
        <v>0</v>
      </c>
      <c r="R615" s="304">
        <v>1</v>
      </c>
      <c r="S615" s="308">
        <v>0</v>
      </c>
    </row>
    <row r="616" spans="1:19" ht="228">
      <c r="A616" s="303">
        <v>611</v>
      </c>
      <c r="B616" s="304">
        <v>835</v>
      </c>
      <c r="C616" s="305" t="s">
        <v>709</v>
      </c>
      <c r="D616" s="306" t="s">
        <v>710</v>
      </c>
      <c r="E616" s="305" t="s">
        <v>844</v>
      </c>
      <c r="F616" s="306" t="s">
        <v>80</v>
      </c>
      <c r="G616" s="306" t="s">
        <v>2692</v>
      </c>
      <c r="H616" s="306" t="s">
        <v>2711</v>
      </c>
      <c r="I616" s="306" t="s">
        <v>2712</v>
      </c>
      <c r="J616" s="304" t="s">
        <v>87</v>
      </c>
      <c r="K616" s="307">
        <v>43466</v>
      </c>
      <c r="L616" s="309">
        <v>45657</v>
      </c>
      <c r="M616" s="306" t="s">
        <v>98</v>
      </c>
      <c r="N616" s="304" t="s">
        <v>96</v>
      </c>
      <c r="O616" s="306" t="s">
        <v>71</v>
      </c>
      <c r="P616" s="304">
        <v>0</v>
      </c>
      <c r="Q616" s="304">
        <v>0</v>
      </c>
      <c r="R616" s="304">
        <v>1</v>
      </c>
      <c r="S616" s="308">
        <v>0</v>
      </c>
    </row>
    <row r="617" spans="1:19" ht="409.6">
      <c r="A617" s="303">
        <v>612</v>
      </c>
      <c r="B617" s="304">
        <v>836</v>
      </c>
      <c r="C617" s="305" t="s">
        <v>709</v>
      </c>
      <c r="D617" s="306" t="s">
        <v>710</v>
      </c>
      <c r="E617" s="305" t="s">
        <v>844</v>
      </c>
      <c r="F617" s="306" t="s">
        <v>80</v>
      </c>
      <c r="G617" s="306" t="s">
        <v>2692</v>
      </c>
      <c r="H617" s="306" t="s">
        <v>2713</v>
      </c>
      <c r="I617" s="306" t="s">
        <v>2714</v>
      </c>
      <c r="J617" s="304" t="s">
        <v>87</v>
      </c>
      <c r="K617" s="307">
        <v>43466</v>
      </c>
      <c r="L617" s="309">
        <v>45657</v>
      </c>
      <c r="M617" s="306" t="s">
        <v>439</v>
      </c>
      <c r="N617" s="304" t="s">
        <v>90</v>
      </c>
      <c r="O617" s="306" t="s">
        <v>71</v>
      </c>
      <c r="P617" s="304">
        <v>0</v>
      </c>
      <c r="Q617" s="304">
        <v>0</v>
      </c>
      <c r="R617" s="304">
        <v>1</v>
      </c>
      <c r="S617" s="308">
        <v>0</v>
      </c>
    </row>
    <row r="618" spans="1:19" ht="144">
      <c r="A618" s="303">
        <v>613</v>
      </c>
      <c r="B618" s="304">
        <v>837</v>
      </c>
      <c r="C618" s="305" t="s">
        <v>709</v>
      </c>
      <c r="D618" s="306" t="s">
        <v>710</v>
      </c>
      <c r="E618" s="305" t="s">
        <v>844</v>
      </c>
      <c r="F618" s="306" t="s">
        <v>80</v>
      </c>
      <c r="G618" s="306" t="s">
        <v>2692</v>
      </c>
      <c r="H618" s="306" t="s">
        <v>2715</v>
      </c>
      <c r="I618" s="306" t="s">
        <v>2716</v>
      </c>
      <c r="J618" s="304" t="s">
        <v>87</v>
      </c>
      <c r="K618" s="307">
        <v>43466</v>
      </c>
      <c r="L618" s="309">
        <v>45657</v>
      </c>
      <c r="M618" s="306" t="s">
        <v>99</v>
      </c>
      <c r="N618" s="304" t="s">
        <v>96</v>
      </c>
      <c r="O618" s="306" t="s">
        <v>71</v>
      </c>
      <c r="P618" s="304">
        <v>0</v>
      </c>
      <c r="Q618" s="304">
        <v>0</v>
      </c>
      <c r="R618" s="304">
        <v>1</v>
      </c>
      <c r="S618" s="308">
        <v>0</v>
      </c>
    </row>
    <row r="619" spans="1:19" ht="144">
      <c r="A619" s="303">
        <v>614</v>
      </c>
      <c r="B619" s="304">
        <v>838</v>
      </c>
      <c r="C619" s="305" t="s">
        <v>709</v>
      </c>
      <c r="D619" s="306" t="s">
        <v>710</v>
      </c>
      <c r="E619" s="305" t="s">
        <v>844</v>
      </c>
      <c r="F619" s="306" t="s">
        <v>80</v>
      </c>
      <c r="G619" s="306" t="s">
        <v>2692</v>
      </c>
      <c r="H619" s="306" t="s">
        <v>2717</v>
      </c>
      <c r="I619" s="306" t="s">
        <v>2716</v>
      </c>
      <c r="J619" s="304" t="s">
        <v>87</v>
      </c>
      <c r="K619" s="307">
        <v>43466</v>
      </c>
      <c r="L619" s="309">
        <v>45657</v>
      </c>
      <c r="M619" s="306" t="s">
        <v>99</v>
      </c>
      <c r="N619" s="304" t="s">
        <v>96</v>
      </c>
      <c r="O619" s="306" t="s">
        <v>71</v>
      </c>
      <c r="P619" s="304">
        <v>0</v>
      </c>
      <c r="Q619" s="304">
        <v>0</v>
      </c>
      <c r="R619" s="304">
        <v>1</v>
      </c>
      <c r="S619" s="308">
        <v>0</v>
      </c>
    </row>
    <row r="620" spans="1:19" ht="60">
      <c r="A620" s="303">
        <v>615</v>
      </c>
      <c r="B620" s="304">
        <v>839</v>
      </c>
      <c r="C620" s="305" t="s">
        <v>709</v>
      </c>
      <c r="D620" s="306" t="s">
        <v>710</v>
      </c>
      <c r="E620" s="305" t="s">
        <v>844</v>
      </c>
      <c r="F620" s="306" t="s">
        <v>80</v>
      </c>
      <c r="G620" s="306" t="s">
        <v>2692</v>
      </c>
      <c r="H620" s="306" t="s">
        <v>2718</v>
      </c>
      <c r="I620" s="306"/>
      <c r="J620" s="304" t="s">
        <v>97</v>
      </c>
      <c r="K620" s="307">
        <v>43466</v>
      </c>
      <c r="L620" s="309">
        <v>45657</v>
      </c>
      <c r="M620" s="306" t="s">
        <v>98</v>
      </c>
      <c r="N620" s="304" t="s">
        <v>96</v>
      </c>
      <c r="O620" s="306" t="s">
        <v>71</v>
      </c>
      <c r="P620" s="304">
        <v>0</v>
      </c>
      <c r="Q620" s="304">
        <v>0</v>
      </c>
      <c r="R620" s="304">
        <v>1</v>
      </c>
      <c r="S620" s="308">
        <v>0</v>
      </c>
    </row>
    <row r="621" spans="1:19" ht="192">
      <c r="A621" s="303">
        <v>616</v>
      </c>
      <c r="B621" s="304">
        <v>840</v>
      </c>
      <c r="C621" s="305" t="s">
        <v>709</v>
      </c>
      <c r="D621" s="306" t="s">
        <v>710</v>
      </c>
      <c r="E621" s="305" t="s">
        <v>844</v>
      </c>
      <c r="F621" s="306" t="s">
        <v>80</v>
      </c>
      <c r="G621" s="306" t="s">
        <v>2692</v>
      </c>
      <c r="H621" s="306" t="s">
        <v>2718</v>
      </c>
      <c r="I621" s="306" t="s">
        <v>2719</v>
      </c>
      <c r="J621" s="304" t="s">
        <v>97</v>
      </c>
      <c r="K621" s="307">
        <v>43466</v>
      </c>
      <c r="L621" s="307">
        <v>45657</v>
      </c>
      <c r="M621" s="306" t="s">
        <v>98</v>
      </c>
      <c r="N621" s="304" t="s">
        <v>96</v>
      </c>
      <c r="O621" s="306" t="s">
        <v>71</v>
      </c>
      <c r="P621" s="304">
        <v>0</v>
      </c>
      <c r="Q621" s="304">
        <v>0</v>
      </c>
      <c r="R621" s="304">
        <v>1</v>
      </c>
      <c r="S621" s="308">
        <v>0</v>
      </c>
    </row>
    <row r="622" spans="1:19" ht="409.6">
      <c r="A622" s="303">
        <v>617</v>
      </c>
      <c r="B622" s="304">
        <v>841</v>
      </c>
      <c r="C622" s="305" t="s">
        <v>709</v>
      </c>
      <c r="D622" s="306" t="s">
        <v>710</v>
      </c>
      <c r="E622" s="305" t="s">
        <v>846</v>
      </c>
      <c r="F622" s="306" t="s">
        <v>77</v>
      </c>
      <c r="G622" s="306" t="s">
        <v>2720</v>
      </c>
      <c r="H622" s="306" t="s">
        <v>2721</v>
      </c>
      <c r="I622" s="306" t="s">
        <v>2722</v>
      </c>
      <c r="J622" s="304" t="s">
        <v>87</v>
      </c>
      <c r="K622" s="307">
        <v>43466</v>
      </c>
      <c r="L622" s="307">
        <v>43647</v>
      </c>
      <c r="M622" s="306" t="s">
        <v>89</v>
      </c>
      <c r="N622" s="304" t="s">
        <v>90</v>
      </c>
      <c r="O622" s="306" t="s">
        <v>71</v>
      </c>
      <c r="P622" s="304">
        <v>0</v>
      </c>
      <c r="Q622" s="304">
        <v>0</v>
      </c>
      <c r="R622" s="304">
        <v>1</v>
      </c>
      <c r="S622" s="308">
        <v>0</v>
      </c>
    </row>
    <row r="623" spans="1:19" ht="192">
      <c r="A623" s="303">
        <v>618</v>
      </c>
      <c r="B623" s="304">
        <v>842</v>
      </c>
      <c r="C623" s="305" t="s">
        <v>709</v>
      </c>
      <c r="D623" s="306" t="s">
        <v>710</v>
      </c>
      <c r="E623" s="305" t="s">
        <v>846</v>
      </c>
      <c r="F623" s="306" t="s">
        <v>77</v>
      </c>
      <c r="G623" s="306" t="s">
        <v>2720</v>
      </c>
      <c r="H623" s="306" t="s">
        <v>2723</v>
      </c>
      <c r="I623" s="306" t="s">
        <v>2724</v>
      </c>
      <c r="J623" s="304" t="s">
        <v>87</v>
      </c>
      <c r="K623" s="307">
        <v>43466</v>
      </c>
      <c r="L623" s="309">
        <v>45657</v>
      </c>
      <c r="M623" s="306" t="s">
        <v>211</v>
      </c>
      <c r="N623" s="304" t="s">
        <v>96</v>
      </c>
      <c r="O623" s="306" t="s">
        <v>71</v>
      </c>
      <c r="P623" s="304">
        <v>0</v>
      </c>
      <c r="Q623" s="304">
        <v>0</v>
      </c>
      <c r="R623" s="304">
        <v>1</v>
      </c>
      <c r="S623" s="308">
        <v>0</v>
      </c>
    </row>
    <row r="624" spans="1:19" ht="409.6">
      <c r="A624" s="303">
        <v>619</v>
      </c>
      <c r="B624" s="304">
        <v>843</v>
      </c>
      <c r="C624" s="305" t="s">
        <v>709</v>
      </c>
      <c r="D624" s="306" t="s">
        <v>710</v>
      </c>
      <c r="E624" s="305" t="s">
        <v>846</v>
      </c>
      <c r="F624" s="306" t="s">
        <v>77</v>
      </c>
      <c r="G624" s="306" t="s">
        <v>2720</v>
      </c>
      <c r="H624" s="306" t="s">
        <v>2725</v>
      </c>
      <c r="I624" s="306" t="s">
        <v>2726</v>
      </c>
      <c r="J624" s="304" t="s">
        <v>87</v>
      </c>
      <c r="K624" s="307">
        <v>43466</v>
      </c>
      <c r="L624" s="307">
        <v>43646</v>
      </c>
      <c r="M624" s="306" t="s">
        <v>221</v>
      </c>
      <c r="N624" s="304" t="s">
        <v>90</v>
      </c>
      <c r="O624" s="306" t="s">
        <v>71</v>
      </c>
      <c r="P624" s="304">
        <v>0</v>
      </c>
      <c r="Q624" s="304">
        <v>0</v>
      </c>
      <c r="R624" s="304">
        <v>1</v>
      </c>
      <c r="S624" s="308">
        <v>0</v>
      </c>
    </row>
    <row r="625" spans="1:19" ht="409.6">
      <c r="A625" s="303">
        <v>620</v>
      </c>
      <c r="B625" s="304">
        <v>844</v>
      </c>
      <c r="C625" s="305" t="s">
        <v>709</v>
      </c>
      <c r="D625" s="306" t="s">
        <v>710</v>
      </c>
      <c r="E625" s="305" t="s">
        <v>846</v>
      </c>
      <c r="F625" s="306" t="s">
        <v>77</v>
      </c>
      <c r="G625" s="306" t="s">
        <v>2720</v>
      </c>
      <c r="H625" s="306" t="s">
        <v>2728</v>
      </c>
      <c r="I625" s="306" t="s">
        <v>2729</v>
      </c>
      <c r="J625" s="304" t="s">
        <v>87</v>
      </c>
      <c r="K625" s="307">
        <v>43466</v>
      </c>
      <c r="L625" s="309">
        <v>44561</v>
      </c>
      <c r="M625" s="306" t="s">
        <v>99</v>
      </c>
      <c r="N625" s="304" t="s">
        <v>90</v>
      </c>
      <c r="O625" s="306" t="s">
        <v>71</v>
      </c>
      <c r="P625" s="304">
        <v>0</v>
      </c>
      <c r="Q625" s="304">
        <v>0</v>
      </c>
      <c r="R625" s="304">
        <v>1</v>
      </c>
      <c r="S625" s="308">
        <v>0</v>
      </c>
    </row>
    <row r="626" spans="1:19" ht="409.6">
      <c r="A626" s="303">
        <v>621</v>
      </c>
      <c r="B626" s="304">
        <v>845</v>
      </c>
      <c r="C626" s="305" t="s">
        <v>709</v>
      </c>
      <c r="D626" s="306" t="s">
        <v>710</v>
      </c>
      <c r="E626" s="305" t="s">
        <v>846</v>
      </c>
      <c r="F626" s="306" t="s">
        <v>77</v>
      </c>
      <c r="G626" s="306" t="s">
        <v>2720</v>
      </c>
      <c r="H626" s="306" t="s">
        <v>2727</v>
      </c>
      <c r="I626" s="306" t="s">
        <v>2730</v>
      </c>
      <c r="J626" s="304" t="s">
        <v>87</v>
      </c>
      <c r="K626" s="307">
        <v>43466</v>
      </c>
      <c r="L626" s="309">
        <v>45657</v>
      </c>
      <c r="M626" s="306" t="s">
        <v>205</v>
      </c>
      <c r="N626" s="304" t="s">
        <v>96</v>
      </c>
      <c r="O626" s="306" t="s">
        <v>71</v>
      </c>
      <c r="P626" s="304">
        <v>0</v>
      </c>
      <c r="Q626" s="304">
        <v>0</v>
      </c>
      <c r="R626" s="304">
        <v>1</v>
      </c>
      <c r="S626" s="308">
        <v>0</v>
      </c>
    </row>
    <row r="627" spans="1:19" ht="372">
      <c r="A627" s="303">
        <v>622</v>
      </c>
      <c r="B627" s="304">
        <v>846</v>
      </c>
      <c r="C627" s="305" t="s">
        <v>709</v>
      </c>
      <c r="D627" s="306" t="s">
        <v>710</v>
      </c>
      <c r="E627" s="305" t="s">
        <v>846</v>
      </c>
      <c r="F627" s="306" t="s">
        <v>77</v>
      </c>
      <c r="G627" s="306" t="s">
        <v>2720</v>
      </c>
      <c r="H627" s="306" t="s">
        <v>2731</v>
      </c>
      <c r="I627" s="306" t="s">
        <v>2732</v>
      </c>
      <c r="J627" s="304" t="s">
        <v>87</v>
      </c>
      <c r="K627" s="307">
        <v>43466</v>
      </c>
      <c r="L627" s="309">
        <v>45657</v>
      </c>
      <c r="M627" s="306" t="s">
        <v>95</v>
      </c>
      <c r="N627" s="304" t="s">
        <v>96</v>
      </c>
      <c r="O627" s="306" t="s">
        <v>71</v>
      </c>
      <c r="P627" s="304">
        <v>0</v>
      </c>
      <c r="Q627" s="304">
        <v>0</v>
      </c>
      <c r="R627" s="304">
        <v>1</v>
      </c>
      <c r="S627" s="308">
        <v>0</v>
      </c>
    </row>
    <row r="628" spans="1:19" ht="228">
      <c r="A628" s="303">
        <v>623</v>
      </c>
      <c r="B628" s="304">
        <v>847</v>
      </c>
      <c r="C628" s="305" t="s">
        <v>709</v>
      </c>
      <c r="D628" s="306" t="s">
        <v>710</v>
      </c>
      <c r="E628" s="305" t="s">
        <v>846</v>
      </c>
      <c r="F628" s="306" t="s">
        <v>77</v>
      </c>
      <c r="G628" s="306" t="s">
        <v>2720</v>
      </c>
      <c r="H628" s="306" t="s">
        <v>2733</v>
      </c>
      <c r="I628" s="306" t="s">
        <v>2734</v>
      </c>
      <c r="J628" s="304" t="s">
        <v>87</v>
      </c>
      <c r="K628" s="307">
        <v>43466</v>
      </c>
      <c r="L628" s="309">
        <v>45657</v>
      </c>
      <c r="M628" s="306" t="s">
        <v>205</v>
      </c>
      <c r="N628" s="304" t="s">
        <v>96</v>
      </c>
      <c r="O628" s="306" t="s">
        <v>18</v>
      </c>
      <c r="P628" s="304">
        <v>0</v>
      </c>
      <c r="Q628" s="304">
        <v>0</v>
      </c>
      <c r="R628" s="304">
        <v>1</v>
      </c>
      <c r="S628" s="308">
        <v>0</v>
      </c>
    </row>
    <row r="629" spans="1:19" ht="409.6">
      <c r="A629" s="303">
        <v>624</v>
      </c>
      <c r="B629" s="304">
        <v>848</v>
      </c>
      <c r="C629" s="305" t="s">
        <v>709</v>
      </c>
      <c r="D629" s="306" t="s">
        <v>710</v>
      </c>
      <c r="E629" s="305" t="s">
        <v>846</v>
      </c>
      <c r="F629" s="306" t="s">
        <v>77</v>
      </c>
      <c r="G629" s="306" t="s">
        <v>2720</v>
      </c>
      <c r="H629" s="306" t="s">
        <v>2735</v>
      </c>
      <c r="I629" s="306" t="s">
        <v>2736</v>
      </c>
      <c r="J629" s="304" t="s">
        <v>87</v>
      </c>
      <c r="K629" s="307">
        <v>43466</v>
      </c>
      <c r="L629" s="309">
        <v>44561</v>
      </c>
      <c r="M629" s="306" t="s">
        <v>99</v>
      </c>
      <c r="N629" s="304" t="s">
        <v>96</v>
      </c>
      <c r="O629" s="306" t="s">
        <v>71</v>
      </c>
      <c r="P629" s="304">
        <v>0</v>
      </c>
      <c r="Q629" s="304">
        <v>0</v>
      </c>
      <c r="R629" s="304">
        <v>1</v>
      </c>
      <c r="S629" s="308">
        <v>0</v>
      </c>
    </row>
    <row r="630" spans="1:19" ht="409.6">
      <c r="A630" s="303">
        <v>625</v>
      </c>
      <c r="B630" s="304">
        <v>849</v>
      </c>
      <c r="C630" s="305" t="s">
        <v>709</v>
      </c>
      <c r="D630" s="306" t="s">
        <v>710</v>
      </c>
      <c r="E630" s="305" t="s">
        <v>848</v>
      </c>
      <c r="F630" s="306" t="s">
        <v>81</v>
      </c>
      <c r="G630" s="306" t="s">
        <v>2737</v>
      </c>
      <c r="H630" s="306" t="s">
        <v>2738</v>
      </c>
      <c r="I630" s="306" t="s">
        <v>2739</v>
      </c>
      <c r="J630" s="304" t="s">
        <v>87</v>
      </c>
      <c r="K630" s="307">
        <v>43466</v>
      </c>
      <c r="L630" s="309">
        <v>45657</v>
      </c>
      <c r="M630" s="306" t="s">
        <v>2317</v>
      </c>
      <c r="N630" s="304" t="s">
        <v>96</v>
      </c>
      <c r="O630" s="306" t="s">
        <v>71</v>
      </c>
      <c r="P630" s="304">
        <v>0</v>
      </c>
      <c r="Q630" s="304">
        <v>0</v>
      </c>
      <c r="R630" s="304">
        <v>1</v>
      </c>
      <c r="S630" s="308">
        <v>0</v>
      </c>
    </row>
    <row r="631" spans="1:19" ht="409.6">
      <c r="A631" s="303">
        <v>626</v>
      </c>
      <c r="B631" s="304">
        <v>850</v>
      </c>
      <c r="C631" s="305" t="s">
        <v>709</v>
      </c>
      <c r="D631" s="306" t="s">
        <v>710</v>
      </c>
      <c r="E631" s="305" t="s">
        <v>848</v>
      </c>
      <c r="F631" s="306" t="s">
        <v>81</v>
      </c>
      <c r="G631" s="306" t="s">
        <v>2737</v>
      </c>
      <c r="H631" s="306" t="s">
        <v>2740</v>
      </c>
      <c r="I631" s="306" t="s">
        <v>2741</v>
      </c>
      <c r="J631" s="304" t="s">
        <v>87</v>
      </c>
      <c r="K631" s="307">
        <v>43466</v>
      </c>
      <c r="L631" s="309">
        <v>45657</v>
      </c>
      <c r="M631" s="306" t="s">
        <v>205</v>
      </c>
      <c r="N631" s="304" t="s">
        <v>96</v>
      </c>
      <c r="O631" s="306" t="s">
        <v>71</v>
      </c>
      <c r="P631" s="304">
        <v>0</v>
      </c>
      <c r="Q631" s="304">
        <v>0</v>
      </c>
      <c r="R631" s="304">
        <v>1</v>
      </c>
      <c r="S631" s="308">
        <v>0</v>
      </c>
    </row>
    <row r="632" spans="1:19" ht="262">
      <c r="A632" s="303">
        <v>627</v>
      </c>
      <c r="B632" s="304">
        <v>851</v>
      </c>
      <c r="C632" s="305" t="s">
        <v>709</v>
      </c>
      <c r="D632" s="306" t="s">
        <v>710</v>
      </c>
      <c r="E632" s="305" t="s">
        <v>848</v>
      </c>
      <c r="F632" s="306" t="s">
        <v>81</v>
      </c>
      <c r="G632" s="306" t="s">
        <v>2737</v>
      </c>
      <c r="H632" s="306" t="s">
        <v>2742</v>
      </c>
      <c r="I632" s="306" t="s">
        <v>2743</v>
      </c>
      <c r="J632" s="304" t="s">
        <v>87</v>
      </c>
      <c r="K632" s="307">
        <v>43466</v>
      </c>
      <c r="L632" s="309">
        <v>44561</v>
      </c>
      <c r="M632" s="306" t="s">
        <v>205</v>
      </c>
      <c r="N632" s="304" t="s">
        <v>96</v>
      </c>
      <c r="O632" s="306" t="s">
        <v>71</v>
      </c>
      <c r="P632" s="304">
        <v>0</v>
      </c>
      <c r="Q632" s="304">
        <v>0</v>
      </c>
      <c r="R632" s="304">
        <v>1</v>
      </c>
      <c r="S632" s="308">
        <v>0</v>
      </c>
    </row>
    <row r="633" spans="1:19" ht="156">
      <c r="A633" s="303">
        <v>628</v>
      </c>
      <c r="B633" s="304">
        <v>852</v>
      </c>
      <c r="C633" s="305" t="s">
        <v>709</v>
      </c>
      <c r="D633" s="306" t="s">
        <v>710</v>
      </c>
      <c r="E633" s="305" t="s">
        <v>848</v>
      </c>
      <c r="F633" s="306" t="s">
        <v>81</v>
      </c>
      <c r="G633" s="306" t="s">
        <v>2737</v>
      </c>
      <c r="H633" s="306" t="s">
        <v>2744</v>
      </c>
      <c r="I633" s="306" t="s">
        <v>2745</v>
      </c>
      <c r="J633" s="304" t="s">
        <v>87</v>
      </c>
      <c r="K633" s="307">
        <v>43466</v>
      </c>
      <c r="L633" s="309">
        <v>43830</v>
      </c>
      <c r="M633" s="306" t="s">
        <v>99</v>
      </c>
      <c r="N633" s="304" t="s">
        <v>96</v>
      </c>
      <c r="O633" s="306" t="s">
        <v>71</v>
      </c>
      <c r="P633" s="304">
        <v>0</v>
      </c>
      <c r="Q633" s="304">
        <v>0</v>
      </c>
      <c r="R633" s="304">
        <v>1</v>
      </c>
      <c r="S633" s="308">
        <v>0</v>
      </c>
    </row>
    <row r="634" spans="1:19" ht="409.6">
      <c r="A634" s="303">
        <v>629</v>
      </c>
      <c r="B634" s="304">
        <v>853</v>
      </c>
      <c r="C634" s="305" t="s">
        <v>709</v>
      </c>
      <c r="D634" s="306" t="s">
        <v>710</v>
      </c>
      <c r="E634" s="305" t="s">
        <v>848</v>
      </c>
      <c r="F634" s="306" t="s">
        <v>81</v>
      </c>
      <c r="G634" s="306" t="s">
        <v>2737</v>
      </c>
      <c r="H634" s="306" t="s">
        <v>2746</v>
      </c>
      <c r="I634" s="306" t="s">
        <v>2747</v>
      </c>
      <c r="J634" s="304" t="s">
        <v>87</v>
      </c>
      <c r="K634" s="307">
        <v>43466</v>
      </c>
      <c r="L634" s="309">
        <v>45657</v>
      </c>
      <c r="M634" s="306" t="s">
        <v>214</v>
      </c>
      <c r="N634" s="304" t="s">
        <v>96</v>
      </c>
      <c r="O634" s="306" t="s">
        <v>71</v>
      </c>
      <c r="P634" s="304">
        <v>0</v>
      </c>
      <c r="Q634" s="304">
        <v>0</v>
      </c>
      <c r="R634" s="304">
        <v>1</v>
      </c>
      <c r="S634" s="308">
        <v>0</v>
      </c>
    </row>
    <row r="635" spans="1:19" ht="409.6">
      <c r="A635" s="303">
        <v>630</v>
      </c>
      <c r="B635" s="304">
        <v>854</v>
      </c>
      <c r="C635" s="305" t="s">
        <v>709</v>
      </c>
      <c r="D635" s="306" t="s">
        <v>710</v>
      </c>
      <c r="E635" s="305" t="s">
        <v>848</v>
      </c>
      <c r="F635" s="306" t="s">
        <v>81</v>
      </c>
      <c r="G635" s="306" t="s">
        <v>2737</v>
      </c>
      <c r="H635" s="306" t="s">
        <v>2748</v>
      </c>
      <c r="I635" s="306" t="s">
        <v>2749</v>
      </c>
      <c r="J635" s="304" t="s">
        <v>87</v>
      </c>
      <c r="K635" s="307">
        <v>43466</v>
      </c>
      <c r="L635" s="309">
        <v>44196</v>
      </c>
      <c r="M635" s="306" t="s">
        <v>99</v>
      </c>
      <c r="N635" s="304" t="s">
        <v>96</v>
      </c>
      <c r="O635" s="306" t="s">
        <v>71</v>
      </c>
      <c r="P635" s="304">
        <v>0</v>
      </c>
      <c r="Q635" s="304">
        <v>0</v>
      </c>
      <c r="R635" s="304">
        <v>1</v>
      </c>
      <c r="S635" s="308">
        <v>0</v>
      </c>
    </row>
    <row r="636" spans="1:19" ht="273">
      <c r="A636" s="303">
        <v>631</v>
      </c>
      <c r="B636" s="304">
        <v>855</v>
      </c>
      <c r="C636" s="305" t="s">
        <v>709</v>
      </c>
      <c r="D636" s="306" t="s">
        <v>710</v>
      </c>
      <c r="E636" s="305" t="s">
        <v>848</v>
      </c>
      <c r="F636" s="306" t="s">
        <v>81</v>
      </c>
      <c r="G636" s="306" t="s">
        <v>2737</v>
      </c>
      <c r="H636" s="306" t="s">
        <v>2750</v>
      </c>
      <c r="I636" s="306" t="s">
        <v>2751</v>
      </c>
      <c r="J636" s="304" t="s">
        <v>87</v>
      </c>
      <c r="K636" s="307">
        <v>43466</v>
      </c>
      <c r="L636" s="309">
        <v>44561</v>
      </c>
      <c r="M636" s="306" t="s">
        <v>99</v>
      </c>
      <c r="N636" s="304" t="s">
        <v>96</v>
      </c>
      <c r="O636" s="306" t="s">
        <v>71</v>
      </c>
      <c r="P636" s="304">
        <v>0</v>
      </c>
      <c r="Q636" s="304">
        <v>0</v>
      </c>
      <c r="R636" s="304">
        <v>1</v>
      </c>
      <c r="S636" s="308">
        <v>0</v>
      </c>
    </row>
    <row r="637" spans="1:19" ht="156">
      <c r="A637" s="303">
        <v>632</v>
      </c>
      <c r="B637" s="304">
        <v>856</v>
      </c>
      <c r="C637" s="305" t="s">
        <v>709</v>
      </c>
      <c r="D637" s="306" t="s">
        <v>710</v>
      </c>
      <c r="E637" s="305" t="s">
        <v>848</v>
      </c>
      <c r="F637" s="306" t="s">
        <v>81</v>
      </c>
      <c r="G637" s="306" t="s">
        <v>2737</v>
      </c>
      <c r="H637" s="306" t="s">
        <v>2752</v>
      </c>
      <c r="I637" s="306" t="s">
        <v>2753</v>
      </c>
      <c r="J637" s="304" t="s">
        <v>87</v>
      </c>
      <c r="K637" s="307">
        <v>43466</v>
      </c>
      <c r="L637" s="309">
        <v>45657</v>
      </c>
      <c r="M637" s="306" t="s">
        <v>205</v>
      </c>
      <c r="N637" s="304" t="s">
        <v>96</v>
      </c>
      <c r="O637" s="306" t="s">
        <v>71</v>
      </c>
      <c r="P637" s="304">
        <v>0</v>
      </c>
      <c r="Q637" s="304">
        <v>0</v>
      </c>
      <c r="R637" s="304">
        <v>1</v>
      </c>
      <c r="S637" s="308">
        <v>0</v>
      </c>
    </row>
    <row r="638" spans="1:19" ht="328">
      <c r="A638" s="303">
        <v>633</v>
      </c>
      <c r="B638" s="304">
        <v>857</v>
      </c>
      <c r="C638" s="305" t="s">
        <v>709</v>
      </c>
      <c r="D638" s="306" t="s">
        <v>710</v>
      </c>
      <c r="E638" s="305" t="s">
        <v>848</v>
      </c>
      <c r="F638" s="306" t="s">
        <v>81</v>
      </c>
      <c r="G638" s="306" t="s">
        <v>2737</v>
      </c>
      <c r="H638" s="306" t="s">
        <v>2754</v>
      </c>
      <c r="I638" s="306" t="s">
        <v>2755</v>
      </c>
      <c r="J638" s="304" t="s">
        <v>87</v>
      </c>
      <c r="K638" s="307">
        <v>43466</v>
      </c>
      <c r="L638" s="309">
        <v>45657</v>
      </c>
      <c r="M638" s="306" t="s">
        <v>439</v>
      </c>
      <c r="N638" s="304" t="s">
        <v>90</v>
      </c>
      <c r="O638" s="306" t="s">
        <v>71</v>
      </c>
      <c r="P638" s="304">
        <v>0</v>
      </c>
      <c r="Q638" s="304">
        <v>0</v>
      </c>
      <c r="R638" s="304">
        <v>1</v>
      </c>
      <c r="S638" s="308">
        <v>0</v>
      </c>
    </row>
    <row r="639" spans="1:19" ht="361">
      <c r="A639" s="303">
        <v>634</v>
      </c>
      <c r="B639" s="304">
        <v>858</v>
      </c>
      <c r="C639" s="305" t="s">
        <v>709</v>
      </c>
      <c r="D639" s="306" t="s">
        <v>710</v>
      </c>
      <c r="E639" s="305" t="s">
        <v>848</v>
      </c>
      <c r="F639" s="306" t="s">
        <v>81</v>
      </c>
      <c r="G639" s="306" t="s">
        <v>2737</v>
      </c>
      <c r="H639" s="306" t="s">
        <v>2756</v>
      </c>
      <c r="I639" s="306" t="s">
        <v>2757</v>
      </c>
      <c r="J639" s="304" t="s">
        <v>87</v>
      </c>
      <c r="K639" s="307">
        <v>43466</v>
      </c>
      <c r="L639" s="309">
        <v>45657</v>
      </c>
      <c r="M639" s="306" t="s">
        <v>211</v>
      </c>
      <c r="N639" s="304" t="s">
        <v>96</v>
      </c>
      <c r="O639" s="306" t="s">
        <v>71</v>
      </c>
      <c r="P639" s="304">
        <v>0</v>
      </c>
      <c r="Q639" s="304">
        <v>0</v>
      </c>
      <c r="R639" s="304">
        <v>1</v>
      </c>
      <c r="S639" s="308">
        <v>0</v>
      </c>
    </row>
    <row r="640" spans="1:19" ht="156">
      <c r="A640" s="303">
        <v>635</v>
      </c>
      <c r="B640" s="304">
        <v>859</v>
      </c>
      <c r="C640" s="305" t="s">
        <v>709</v>
      </c>
      <c r="D640" s="306" t="s">
        <v>710</v>
      </c>
      <c r="E640" s="305" t="s">
        <v>848</v>
      </c>
      <c r="F640" s="306" t="s">
        <v>81</v>
      </c>
      <c r="G640" s="306" t="s">
        <v>2737</v>
      </c>
      <c r="H640" s="306" t="s">
        <v>2758</v>
      </c>
      <c r="I640" s="306" t="s">
        <v>2759</v>
      </c>
      <c r="J640" s="304" t="s">
        <v>97</v>
      </c>
      <c r="K640" s="307">
        <v>43466</v>
      </c>
      <c r="L640" s="309">
        <v>45657</v>
      </c>
      <c r="M640" s="306" t="s">
        <v>2317</v>
      </c>
      <c r="N640" s="304" t="s">
        <v>96</v>
      </c>
      <c r="O640" s="306" t="s">
        <v>71</v>
      </c>
      <c r="P640" s="304">
        <v>0</v>
      </c>
      <c r="Q640" s="304">
        <v>0</v>
      </c>
      <c r="R640" s="304">
        <v>1</v>
      </c>
      <c r="S640" s="308">
        <v>0</v>
      </c>
    </row>
    <row r="641" spans="1:19" ht="409.6">
      <c r="A641" s="303">
        <v>636</v>
      </c>
      <c r="B641" s="304">
        <v>860</v>
      </c>
      <c r="C641" s="305" t="s">
        <v>709</v>
      </c>
      <c r="D641" s="306" t="s">
        <v>710</v>
      </c>
      <c r="E641" s="305" t="s">
        <v>851</v>
      </c>
      <c r="F641" s="306" t="s">
        <v>1582</v>
      </c>
      <c r="G641" s="306" t="s">
        <v>2760</v>
      </c>
      <c r="H641" s="306" t="s">
        <v>2761</v>
      </c>
      <c r="I641" s="306" t="s">
        <v>2762</v>
      </c>
      <c r="J641" s="304" t="s">
        <v>87</v>
      </c>
      <c r="K641" s="307">
        <v>43466</v>
      </c>
      <c r="L641" s="309">
        <v>45657</v>
      </c>
      <c r="M641" s="306" t="s">
        <v>95</v>
      </c>
      <c r="N641" s="304" t="s">
        <v>96</v>
      </c>
      <c r="O641" s="306" t="s">
        <v>55</v>
      </c>
      <c r="P641" s="304">
        <v>0</v>
      </c>
      <c r="Q641" s="304">
        <v>0</v>
      </c>
      <c r="R641" s="304">
        <v>1</v>
      </c>
      <c r="S641" s="308">
        <v>0</v>
      </c>
    </row>
    <row r="642" spans="1:19" ht="409.6">
      <c r="A642" s="303">
        <v>637</v>
      </c>
      <c r="B642" s="304">
        <v>861</v>
      </c>
      <c r="C642" s="305" t="s">
        <v>709</v>
      </c>
      <c r="D642" s="306" t="s">
        <v>710</v>
      </c>
      <c r="E642" s="305" t="s">
        <v>851</v>
      </c>
      <c r="F642" s="306" t="s">
        <v>1582</v>
      </c>
      <c r="G642" s="306" t="s">
        <v>2763</v>
      </c>
      <c r="H642" s="306" t="s">
        <v>2764</v>
      </c>
      <c r="I642" s="306" t="s">
        <v>2765</v>
      </c>
      <c r="J642" s="304" t="s">
        <v>87</v>
      </c>
      <c r="K642" s="307">
        <v>43466</v>
      </c>
      <c r="L642" s="309">
        <v>45657</v>
      </c>
      <c r="M642" s="306" t="s">
        <v>205</v>
      </c>
      <c r="N642" s="304" t="s">
        <v>96</v>
      </c>
      <c r="O642" s="306" t="s">
        <v>71</v>
      </c>
      <c r="P642" s="304">
        <v>0</v>
      </c>
      <c r="Q642" s="304">
        <v>0</v>
      </c>
      <c r="R642" s="304">
        <v>1</v>
      </c>
      <c r="S642" s="308">
        <v>0</v>
      </c>
    </row>
    <row r="643" spans="1:19" ht="409.6">
      <c r="A643" s="303">
        <v>638</v>
      </c>
      <c r="B643" s="304">
        <v>862</v>
      </c>
      <c r="C643" s="305" t="s">
        <v>709</v>
      </c>
      <c r="D643" s="306" t="s">
        <v>710</v>
      </c>
      <c r="E643" s="305" t="s">
        <v>851</v>
      </c>
      <c r="F643" s="306" t="s">
        <v>1582</v>
      </c>
      <c r="G643" s="306" t="s">
        <v>2763</v>
      </c>
      <c r="H643" s="306" t="s">
        <v>2766</v>
      </c>
      <c r="I643" s="306" t="s">
        <v>2767</v>
      </c>
      <c r="J643" s="304" t="s">
        <v>87</v>
      </c>
      <c r="K643" s="307">
        <v>43466</v>
      </c>
      <c r="L643" s="309">
        <v>45657</v>
      </c>
      <c r="M643" s="306" t="s">
        <v>205</v>
      </c>
      <c r="N643" s="304" t="s">
        <v>96</v>
      </c>
      <c r="O643" s="306" t="s">
        <v>55</v>
      </c>
      <c r="P643" s="304">
        <v>0</v>
      </c>
      <c r="Q643" s="304">
        <v>0</v>
      </c>
      <c r="R643" s="304">
        <v>1</v>
      </c>
      <c r="S643" s="308">
        <v>0</v>
      </c>
    </row>
    <row r="644" spans="1:19" ht="409.6">
      <c r="A644" s="303">
        <v>639</v>
      </c>
      <c r="B644" s="304">
        <v>863</v>
      </c>
      <c r="C644" s="305" t="s">
        <v>709</v>
      </c>
      <c r="D644" s="306" t="s">
        <v>710</v>
      </c>
      <c r="E644" s="305" t="s">
        <v>851</v>
      </c>
      <c r="F644" s="306" t="s">
        <v>1582</v>
      </c>
      <c r="G644" s="306" t="s">
        <v>2763</v>
      </c>
      <c r="H644" s="306" t="s">
        <v>2768</v>
      </c>
      <c r="I644" s="306" t="s">
        <v>2769</v>
      </c>
      <c r="J644" s="304" t="s">
        <v>87</v>
      </c>
      <c r="K644" s="307">
        <v>43466</v>
      </c>
      <c r="L644" s="309">
        <v>45657</v>
      </c>
      <c r="M644" s="306" t="s">
        <v>205</v>
      </c>
      <c r="N644" s="304" t="s">
        <v>96</v>
      </c>
      <c r="O644" s="306" t="s">
        <v>55</v>
      </c>
      <c r="P644" s="304">
        <v>0</v>
      </c>
      <c r="Q644" s="304">
        <v>0</v>
      </c>
      <c r="R644" s="304">
        <v>1</v>
      </c>
      <c r="S644" s="308">
        <v>0</v>
      </c>
    </row>
    <row r="645" spans="1:19" ht="108">
      <c r="A645" s="303">
        <v>640</v>
      </c>
      <c r="B645" s="304">
        <v>864</v>
      </c>
      <c r="C645" s="305" t="s">
        <v>709</v>
      </c>
      <c r="D645" s="306" t="s">
        <v>710</v>
      </c>
      <c r="E645" s="305" t="s">
        <v>851</v>
      </c>
      <c r="F645" s="306" t="s">
        <v>1582</v>
      </c>
      <c r="G645" s="306" t="s">
        <v>2763</v>
      </c>
      <c r="H645" s="306" t="s">
        <v>2770</v>
      </c>
      <c r="I645" s="306"/>
      <c r="J645" s="304" t="s">
        <v>97</v>
      </c>
      <c r="K645" s="307">
        <v>43466</v>
      </c>
      <c r="L645" s="307">
        <v>43593</v>
      </c>
      <c r="M645" s="306" t="s">
        <v>89</v>
      </c>
      <c r="N645" s="304" t="s">
        <v>90</v>
      </c>
      <c r="O645" s="306" t="s">
        <v>71</v>
      </c>
      <c r="P645" s="304">
        <v>0</v>
      </c>
      <c r="Q645" s="304">
        <v>0</v>
      </c>
      <c r="R645" s="304">
        <v>1</v>
      </c>
      <c r="S645" s="308">
        <v>0</v>
      </c>
    </row>
    <row r="646" spans="1:19" ht="409.6">
      <c r="A646" s="303">
        <v>641</v>
      </c>
      <c r="B646" s="304">
        <v>865</v>
      </c>
      <c r="C646" s="305" t="s">
        <v>709</v>
      </c>
      <c r="D646" s="306" t="s">
        <v>710</v>
      </c>
      <c r="E646" s="305" t="s">
        <v>854</v>
      </c>
      <c r="F646" s="306" t="s">
        <v>66</v>
      </c>
      <c r="G646" s="306" t="s">
        <v>2771</v>
      </c>
      <c r="H646" s="306" t="s">
        <v>2772</v>
      </c>
      <c r="I646" s="306" t="s">
        <v>2773</v>
      </c>
      <c r="J646" s="304" t="s">
        <v>87</v>
      </c>
      <c r="K646" s="307">
        <v>43466</v>
      </c>
      <c r="L646" s="309">
        <v>45657</v>
      </c>
      <c r="M646" s="306" t="s">
        <v>98</v>
      </c>
      <c r="N646" s="304" t="s">
        <v>90</v>
      </c>
      <c r="O646" s="306" t="s">
        <v>71</v>
      </c>
      <c r="P646" s="304">
        <v>0</v>
      </c>
      <c r="Q646" s="304">
        <v>0</v>
      </c>
      <c r="R646" s="304">
        <v>1</v>
      </c>
      <c r="S646" s="308">
        <v>0</v>
      </c>
    </row>
    <row r="647" spans="1:19" ht="132">
      <c r="A647" s="303">
        <v>642</v>
      </c>
      <c r="B647" s="304">
        <v>866</v>
      </c>
      <c r="C647" s="305" t="s">
        <v>709</v>
      </c>
      <c r="D647" s="306" t="s">
        <v>710</v>
      </c>
      <c r="E647" s="305" t="s">
        <v>854</v>
      </c>
      <c r="F647" s="306" t="s">
        <v>66</v>
      </c>
      <c r="G647" s="306" t="s">
        <v>2771</v>
      </c>
      <c r="H647" s="306" t="s">
        <v>2776</v>
      </c>
      <c r="I647" s="306" t="s">
        <v>2777</v>
      </c>
      <c r="J647" s="304" t="s">
        <v>87</v>
      </c>
      <c r="K647" s="307">
        <v>43466</v>
      </c>
      <c r="L647" s="309">
        <v>44561</v>
      </c>
      <c r="M647" s="306" t="s">
        <v>99</v>
      </c>
      <c r="N647" s="304" t="s">
        <v>96</v>
      </c>
      <c r="O647" s="306" t="s">
        <v>71</v>
      </c>
      <c r="P647" s="304">
        <v>0</v>
      </c>
      <c r="Q647" s="304">
        <v>0</v>
      </c>
      <c r="R647" s="304">
        <v>1</v>
      </c>
      <c r="S647" s="308">
        <v>0</v>
      </c>
    </row>
    <row r="648" spans="1:19" ht="317">
      <c r="A648" s="303">
        <v>643</v>
      </c>
      <c r="B648" s="304">
        <v>867</v>
      </c>
      <c r="C648" s="305" t="s">
        <v>709</v>
      </c>
      <c r="D648" s="306" t="s">
        <v>710</v>
      </c>
      <c r="E648" s="305" t="s">
        <v>854</v>
      </c>
      <c r="F648" s="306" t="s">
        <v>66</v>
      </c>
      <c r="G648" s="306" t="s">
        <v>2771</v>
      </c>
      <c r="H648" s="306" t="s">
        <v>2774</v>
      </c>
      <c r="I648" s="306" t="s">
        <v>2778</v>
      </c>
      <c r="J648" s="304" t="s">
        <v>87</v>
      </c>
      <c r="K648" s="307">
        <v>43466</v>
      </c>
      <c r="L648" s="309">
        <v>44561</v>
      </c>
      <c r="M648" s="306" t="s">
        <v>209</v>
      </c>
      <c r="N648" s="304" t="s">
        <v>96</v>
      </c>
      <c r="O648" s="306" t="s">
        <v>71</v>
      </c>
      <c r="P648" s="304">
        <v>0</v>
      </c>
      <c r="Q648" s="304">
        <v>0</v>
      </c>
      <c r="R648" s="304">
        <v>1</v>
      </c>
      <c r="S648" s="308">
        <v>0</v>
      </c>
    </row>
    <row r="649" spans="1:19" ht="144">
      <c r="A649" s="303">
        <v>644</v>
      </c>
      <c r="B649" s="304">
        <v>868</v>
      </c>
      <c r="C649" s="305" t="s">
        <v>709</v>
      </c>
      <c r="D649" s="306" t="s">
        <v>710</v>
      </c>
      <c r="E649" s="305" t="s">
        <v>854</v>
      </c>
      <c r="F649" s="306" t="s">
        <v>66</v>
      </c>
      <c r="G649" s="306" t="s">
        <v>2771</v>
      </c>
      <c r="H649" s="306" t="s">
        <v>2779</v>
      </c>
      <c r="I649" s="306" t="s">
        <v>2780</v>
      </c>
      <c r="J649" s="304" t="s">
        <v>87</v>
      </c>
      <c r="K649" s="307">
        <v>43466</v>
      </c>
      <c r="L649" s="309">
        <v>44561</v>
      </c>
      <c r="M649" s="306" t="s">
        <v>99</v>
      </c>
      <c r="N649" s="304" t="s">
        <v>96</v>
      </c>
      <c r="O649" s="306" t="s">
        <v>71</v>
      </c>
      <c r="P649" s="304">
        <v>0</v>
      </c>
      <c r="Q649" s="304">
        <v>0</v>
      </c>
      <c r="R649" s="304">
        <v>1</v>
      </c>
      <c r="S649" s="308">
        <v>0</v>
      </c>
    </row>
    <row r="650" spans="1:19" ht="192">
      <c r="A650" s="303">
        <v>645</v>
      </c>
      <c r="B650" s="304">
        <v>869</v>
      </c>
      <c r="C650" s="305" t="s">
        <v>709</v>
      </c>
      <c r="D650" s="306" t="s">
        <v>710</v>
      </c>
      <c r="E650" s="305" t="s">
        <v>854</v>
      </c>
      <c r="F650" s="306" t="s">
        <v>66</v>
      </c>
      <c r="G650" s="306" t="s">
        <v>2771</v>
      </c>
      <c r="H650" s="306" t="s">
        <v>2781</v>
      </c>
      <c r="I650" s="306" t="s">
        <v>2782</v>
      </c>
      <c r="J650" s="304" t="s">
        <v>87</v>
      </c>
      <c r="K650" s="307">
        <v>43466</v>
      </c>
      <c r="L650" s="309">
        <v>44926</v>
      </c>
      <c r="M650" s="306" t="s">
        <v>209</v>
      </c>
      <c r="N650" s="304" t="s">
        <v>96</v>
      </c>
      <c r="O650" s="306" t="s">
        <v>71</v>
      </c>
      <c r="P650" s="304">
        <v>0</v>
      </c>
      <c r="Q650" s="304">
        <v>0</v>
      </c>
      <c r="R650" s="304">
        <v>1</v>
      </c>
      <c r="S650" s="308">
        <v>0</v>
      </c>
    </row>
    <row r="651" spans="1:19" ht="295">
      <c r="A651" s="303">
        <v>646</v>
      </c>
      <c r="B651" s="304">
        <v>870</v>
      </c>
      <c r="C651" s="305" t="s">
        <v>709</v>
      </c>
      <c r="D651" s="306" t="s">
        <v>710</v>
      </c>
      <c r="E651" s="305" t="s">
        <v>854</v>
      </c>
      <c r="F651" s="306" t="s">
        <v>66</v>
      </c>
      <c r="G651" s="306" t="s">
        <v>2771</v>
      </c>
      <c r="H651" s="306" t="s">
        <v>2783</v>
      </c>
      <c r="I651" s="306" t="s">
        <v>2784</v>
      </c>
      <c r="J651" s="304" t="s">
        <v>87</v>
      </c>
      <c r="K651" s="307">
        <v>43466</v>
      </c>
      <c r="L651" s="309">
        <v>45291</v>
      </c>
      <c r="M651" s="306" t="s">
        <v>209</v>
      </c>
      <c r="N651" s="304" t="s">
        <v>96</v>
      </c>
      <c r="O651" s="306" t="s">
        <v>71</v>
      </c>
      <c r="P651" s="304">
        <v>0</v>
      </c>
      <c r="Q651" s="304">
        <v>0</v>
      </c>
      <c r="R651" s="304">
        <v>1</v>
      </c>
      <c r="S651" s="308">
        <v>0</v>
      </c>
    </row>
    <row r="652" spans="1:19" ht="409.6">
      <c r="A652" s="303">
        <v>647</v>
      </c>
      <c r="B652" s="304">
        <v>871</v>
      </c>
      <c r="C652" s="305" t="s">
        <v>709</v>
      </c>
      <c r="D652" s="306" t="s">
        <v>710</v>
      </c>
      <c r="E652" s="305" t="s">
        <v>854</v>
      </c>
      <c r="F652" s="306" t="s">
        <v>66</v>
      </c>
      <c r="G652" s="306" t="s">
        <v>2771</v>
      </c>
      <c r="H652" s="306" t="s">
        <v>2785</v>
      </c>
      <c r="I652" s="306" t="s">
        <v>2786</v>
      </c>
      <c r="J652" s="304" t="s">
        <v>87</v>
      </c>
      <c r="K652" s="307">
        <v>43466</v>
      </c>
      <c r="L652" s="309">
        <v>45657</v>
      </c>
      <c r="M652" s="306" t="s">
        <v>209</v>
      </c>
      <c r="N652" s="304" t="s">
        <v>96</v>
      </c>
      <c r="O652" s="306" t="s">
        <v>71</v>
      </c>
      <c r="P652" s="304">
        <v>0</v>
      </c>
      <c r="Q652" s="304">
        <v>0</v>
      </c>
      <c r="R652" s="304">
        <v>1</v>
      </c>
      <c r="S652" s="308">
        <v>0</v>
      </c>
    </row>
    <row r="653" spans="1:19" ht="394">
      <c r="A653" s="303">
        <v>648</v>
      </c>
      <c r="B653" s="304">
        <v>872</v>
      </c>
      <c r="C653" s="305" t="s">
        <v>709</v>
      </c>
      <c r="D653" s="306" t="s">
        <v>710</v>
      </c>
      <c r="E653" s="305" t="s">
        <v>854</v>
      </c>
      <c r="F653" s="306" t="s">
        <v>66</v>
      </c>
      <c r="G653" s="306" t="s">
        <v>2771</v>
      </c>
      <c r="H653" s="306" t="s">
        <v>2787</v>
      </c>
      <c r="I653" s="306" t="s">
        <v>2788</v>
      </c>
      <c r="J653" s="304" t="s">
        <v>87</v>
      </c>
      <c r="K653" s="307">
        <v>43466</v>
      </c>
      <c r="L653" s="309">
        <v>45657</v>
      </c>
      <c r="M653" s="306" t="s">
        <v>209</v>
      </c>
      <c r="N653" s="304" t="s">
        <v>90</v>
      </c>
      <c r="O653" s="306" t="s">
        <v>71</v>
      </c>
      <c r="P653" s="304">
        <v>0</v>
      </c>
      <c r="Q653" s="304">
        <v>0</v>
      </c>
      <c r="R653" s="304">
        <v>1</v>
      </c>
      <c r="S653" s="308">
        <v>0</v>
      </c>
    </row>
    <row r="654" spans="1:19" ht="409.6">
      <c r="A654" s="303">
        <v>649</v>
      </c>
      <c r="B654" s="304">
        <v>873</v>
      </c>
      <c r="C654" s="305" t="s">
        <v>709</v>
      </c>
      <c r="D654" s="306" t="s">
        <v>710</v>
      </c>
      <c r="E654" s="305" t="s">
        <v>854</v>
      </c>
      <c r="F654" s="306" t="s">
        <v>66</v>
      </c>
      <c r="G654" s="306" t="s">
        <v>2771</v>
      </c>
      <c r="H654" s="306" t="s">
        <v>2789</v>
      </c>
      <c r="I654" s="306" t="s">
        <v>2790</v>
      </c>
      <c r="J654" s="304" t="s">
        <v>87</v>
      </c>
      <c r="K654" s="307">
        <v>43466</v>
      </c>
      <c r="L654" s="309">
        <v>45657</v>
      </c>
      <c r="M654" s="306" t="s">
        <v>209</v>
      </c>
      <c r="N654" s="304" t="s">
        <v>90</v>
      </c>
      <c r="O654" s="306" t="s">
        <v>71</v>
      </c>
      <c r="P654" s="304">
        <v>0</v>
      </c>
      <c r="Q654" s="304">
        <v>0</v>
      </c>
      <c r="R654" s="304">
        <v>1</v>
      </c>
      <c r="S654" s="308">
        <v>0</v>
      </c>
    </row>
    <row r="655" spans="1:19" ht="156">
      <c r="A655" s="303">
        <v>650</v>
      </c>
      <c r="B655" s="304">
        <v>874</v>
      </c>
      <c r="C655" s="305" t="s">
        <v>709</v>
      </c>
      <c r="D655" s="306" t="s">
        <v>710</v>
      </c>
      <c r="E655" s="305" t="s">
        <v>854</v>
      </c>
      <c r="F655" s="306" t="s">
        <v>66</v>
      </c>
      <c r="G655" s="306" t="s">
        <v>2771</v>
      </c>
      <c r="H655" s="306" t="s">
        <v>2791</v>
      </c>
      <c r="I655" s="306" t="s">
        <v>2792</v>
      </c>
      <c r="J655" s="304" t="s">
        <v>97</v>
      </c>
      <c r="K655" s="307">
        <v>43466</v>
      </c>
      <c r="L655" s="309">
        <v>43830</v>
      </c>
      <c r="M655" s="306" t="s">
        <v>209</v>
      </c>
      <c r="N655" s="304" t="s">
        <v>96</v>
      </c>
      <c r="O655" s="306" t="s">
        <v>71</v>
      </c>
      <c r="P655" s="304">
        <v>0</v>
      </c>
      <c r="Q655" s="304">
        <v>0</v>
      </c>
      <c r="R655" s="304">
        <v>1</v>
      </c>
      <c r="S655" s="308">
        <v>0</v>
      </c>
    </row>
    <row r="656" spans="1:19" ht="168">
      <c r="A656" s="303">
        <v>651</v>
      </c>
      <c r="B656" s="304">
        <v>875</v>
      </c>
      <c r="C656" s="305" t="s">
        <v>709</v>
      </c>
      <c r="D656" s="306" t="s">
        <v>710</v>
      </c>
      <c r="E656" s="305" t="s">
        <v>854</v>
      </c>
      <c r="F656" s="306" t="s">
        <v>66</v>
      </c>
      <c r="G656" s="306" t="s">
        <v>2771</v>
      </c>
      <c r="H656" s="306" t="s">
        <v>2793</v>
      </c>
      <c r="I656" s="306" t="s">
        <v>2794</v>
      </c>
      <c r="J656" s="304" t="s">
        <v>97</v>
      </c>
      <c r="K656" s="307">
        <v>43466</v>
      </c>
      <c r="L656" s="309">
        <v>45657</v>
      </c>
      <c r="M656" s="306" t="s">
        <v>209</v>
      </c>
      <c r="N656" s="304" t="s">
        <v>96</v>
      </c>
      <c r="O656" s="306" t="s">
        <v>71</v>
      </c>
      <c r="P656" s="304">
        <v>0</v>
      </c>
      <c r="Q656" s="304">
        <v>0</v>
      </c>
      <c r="R656" s="304">
        <v>1</v>
      </c>
      <c r="S656" s="308">
        <v>0</v>
      </c>
    </row>
    <row r="657" spans="1:19" ht="295">
      <c r="A657" s="303">
        <v>652</v>
      </c>
      <c r="B657" s="304">
        <v>876</v>
      </c>
      <c r="C657" s="305" t="s">
        <v>709</v>
      </c>
      <c r="D657" s="306" t="s">
        <v>710</v>
      </c>
      <c r="E657" s="305" t="s">
        <v>856</v>
      </c>
      <c r="F657" s="306" t="s">
        <v>39</v>
      </c>
      <c r="G657" s="306" t="s">
        <v>2795</v>
      </c>
      <c r="H657" s="306" t="s">
        <v>2796</v>
      </c>
      <c r="I657" s="306" t="s">
        <v>2797</v>
      </c>
      <c r="J657" s="304" t="s">
        <v>87</v>
      </c>
      <c r="K657" s="307">
        <v>43466</v>
      </c>
      <c r="L657" s="307">
        <v>43506</v>
      </c>
      <c r="M657" s="306" t="s">
        <v>89</v>
      </c>
      <c r="N657" s="304" t="s">
        <v>90</v>
      </c>
      <c r="O657" s="306" t="s">
        <v>51</v>
      </c>
      <c r="P657" s="304">
        <v>0</v>
      </c>
      <c r="Q657" s="304">
        <v>0</v>
      </c>
      <c r="R657" s="304">
        <v>1</v>
      </c>
      <c r="S657" s="308">
        <v>0</v>
      </c>
    </row>
    <row r="658" spans="1:19" ht="295">
      <c r="A658" s="303">
        <v>653</v>
      </c>
      <c r="B658" s="304">
        <v>877</v>
      </c>
      <c r="C658" s="305" t="s">
        <v>709</v>
      </c>
      <c r="D658" s="306" t="s">
        <v>710</v>
      </c>
      <c r="E658" s="305" t="s">
        <v>856</v>
      </c>
      <c r="F658" s="306" t="s">
        <v>39</v>
      </c>
      <c r="G658" s="306" t="s">
        <v>2795</v>
      </c>
      <c r="H658" s="306" t="s">
        <v>2799</v>
      </c>
      <c r="I658" s="306" t="s">
        <v>2800</v>
      </c>
      <c r="J658" s="304" t="s">
        <v>87</v>
      </c>
      <c r="K658" s="307">
        <v>43466</v>
      </c>
      <c r="L658" s="307">
        <v>45292</v>
      </c>
      <c r="M658" s="306" t="s">
        <v>98</v>
      </c>
      <c r="N658" s="304" t="s">
        <v>90</v>
      </c>
      <c r="O658" s="306" t="s">
        <v>51</v>
      </c>
      <c r="P658" s="304">
        <v>0</v>
      </c>
      <c r="Q658" s="304">
        <v>0</v>
      </c>
      <c r="R658" s="304">
        <v>1</v>
      </c>
      <c r="S658" s="308">
        <v>0</v>
      </c>
    </row>
    <row r="659" spans="1:19" ht="108">
      <c r="A659" s="303">
        <v>654</v>
      </c>
      <c r="B659" s="304">
        <v>878</v>
      </c>
      <c r="C659" s="305" t="s">
        <v>709</v>
      </c>
      <c r="D659" s="306" t="s">
        <v>710</v>
      </c>
      <c r="E659" s="305" t="s">
        <v>856</v>
      </c>
      <c r="F659" s="306" t="s">
        <v>39</v>
      </c>
      <c r="G659" s="306" t="s">
        <v>2795</v>
      </c>
      <c r="H659" s="306" t="s">
        <v>2801</v>
      </c>
      <c r="I659" s="306" t="s">
        <v>2802</v>
      </c>
      <c r="J659" s="304" t="s">
        <v>87</v>
      </c>
      <c r="K659" s="307">
        <v>43466</v>
      </c>
      <c r="L659" s="309">
        <v>43830</v>
      </c>
      <c r="M659" s="306" t="s">
        <v>214</v>
      </c>
      <c r="N659" s="304" t="s">
        <v>96</v>
      </c>
      <c r="O659" s="306" t="s">
        <v>51</v>
      </c>
      <c r="P659" s="304">
        <v>0</v>
      </c>
      <c r="Q659" s="304">
        <v>0</v>
      </c>
      <c r="R659" s="304">
        <v>1</v>
      </c>
      <c r="S659" s="308">
        <v>0</v>
      </c>
    </row>
    <row r="660" spans="1:19" ht="394">
      <c r="A660" s="303">
        <v>655</v>
      </c>
      <c r="B660" s="304">
        <v>879</v>
      </c>
      <c r="C660" s="305" t="s">
        <v>709</v>
      </c>
      <c r="D660" s="306" t="s">
        <v>710</v>
      </c>
      <c r="E660" s="305" t="s">
        <v>856</v>
      </c>
      <c r="F660" s="306" t="s">
        <v>39</v>
      </c>
      <c r="G660" s="306" t="s">
        <v>2795</v>
      </c>
      <c r="H660" s="306" t="s">
        <v>2803</v>
      </c>
      <c r="I660" s="306" t="s">
        <v>2804</v>
      </c>
      <c r="J660" s="304" t="s">
        <v>87</v>
      </c>
      <c r="K660" s="307">
        <v>43466</v>
      </c>
      <c r="L660" s="307">
        <v>43862</v>
      </c>
      <c r="M660" s="306" t="s">
        <v>89</v>
      </c>
      <c r="N660" s="304" t="s">
        <v>90</v>
      </c>
      <c r="O660" s="306" t="s">
        <v>51</v>
      </c>
      <c r="P660" s="304">
        <v>0</v>
      </c>
      <c r="Q660" s="304">
        <v>0</v>
      </c>
      <c r="R660" s="304">
        <v>1</v>
      </c>
      <c r="S660" s="308">
        <v>0</v>
      </c>
    </row>
    <row r="661" spans="1:19" ht="108">
      <c r="A661" s="303">
        <v>656</v>
      </c>
      <c r="B661" s="304">
        <v>880</v>
      </c>
      <c r="C661" s="305" t="s">
        <v>709</v>
      </c>
      <c r="D661" s="306" t="s">
        <v>710</v>
      </c>
      <c r="E661" s="305" t="s">
        <v>856</v>
      </c>
      <c r="F661" s="306" t="s">
        <v>39</v>
      </c>
      <c r="G661" s="306" t="s">
        <v>2795</v>
      </c>
      <c r="H661" s="306" t="s">
        <v>2805</v>
      </c>
      <c r="I661" s="306" t="s">
        <v>2806</v>
      </c>
      <c r="J661" s="304" t="s">
        <v>87</v>
      </c>
      <c r="K661" s="307">
        <v>43466</v>
      </c>
      <c r="L661" s="309">
        <v>44196</v>
      </c>
      <c r="M661" s="306" t="s">
        <v>214</v>
      </c>
      <c r="N661" s="304" t="s">
        <v>96</v>
      </c>
      <c r="O661" s="306" t="s">
        <v>51</v>
      </c>
      <c r="P661" s="304">
        <v>0</v>
      </c>
      <c r="Q661" s="304">
        <v>0</v>
      </c>
      <c r="R661" s="304">
        <v>1</v>
      </c>
      <c r="S661" s="308">
        <v>0</v>
      </c>
    </row>
    <row r="662" spans="1:19" ht="108">
      <c r="A662" s="303">
        <v>657</v>
      </c>
      <c r="B662" s="304">
        <v>881</v>
      </c>
      <c r="C662" s="305" t="s">
        <v>709</v>
      </c>
      <c r="D662" s="306" t="s">
        <v>710</v>
      </c>
      <c r="E662" s="305" t="s">
        <v>856</v>
      </c>
      <c r="F662" s="306" t="s">
        <v>39</v>
      </c>
      <c r="G662" s="306" t="s">
        <v>2795</v>
      </c>
      <c r="H662" s="306" t="s">
        <v>2807</v>
      </c>
      <c r="I662" s="306" t="s">
        <v>2808</v>
      </c>
      <c r="J662" s="304" t="s">
        <v>87</v>
      </c>
      <c r="K662" s="307">
        <v>43466</v>
      </c>
      <c r="L662" s="309">
        <v>44561</v>
      </c>
      <c r="M662" s="306" t="s">
        <v>439</v>
      </c>
      <c r="N662" s="304" t="s">
        <v>90</v>
      </c>
      <c r="O662" s="306" t="s">
        <v>51</v>
      </c>
      <c r="P662" s="304">
        <v>0</v>
      </c>
      <c r="Q662" s="304">
        <v>0</v>
      </c>
      <c r="R662" s="304">
        <v>1</v>
      </c>
      <c r="S662" s="308">
        <v>0</v>
      </c>
    </row>
    <row r="663" spans="1:19" ht="108">
      <c r="A663" s="303">
        <v>658</v>
      </c>
      <c r="B663" s="304">
        <v>882</v>
      </c>
      <c r="C663" s="305" t="s">
        <v>709</v>
      </c>
      <c r="D663" s="306" t="s">
        <v>710</v>
      </c>
      <c r="E663" s="305" t="s">
        <v>856</v>
      </c>
      <c r="F663" s="306" t="s">
        <v>39</v>
      </c>
      <c r="G663" s="306" t="s">
        <v>2795</v>
      </c>
      <c r="H663" s="306" t="s">
        <v>2809</v>
      </c>
      <c r="I663" s="306" t="s">
        <v>2810</v>
      </c>
      <c r="J663" s="304" t="s">
        <v>87</v>
      </c>
      <c r="K663" s="307">
        <v>43466</v>
      </c>
      <c r="L663" s="309">
        <v>44561</v>
      </c>
      <c r="M663" s="306" t="s">
        <v>214</v>
      </c>
      <c r="N663" s="304" t="s">
        <v>96</v>
      </c>
      <c r="O663" s="306" t="s">
        <v>51</v>
      </c>
      <c r="P663" s="304">
        <v>0</v>
      </c>
      <c r="Q663" s="304">
        <v>0</v>
      </c>
      <c r="R663" s="304">
        <v>1</v>
      </c>
      <c r="S663" s="308">
        <v>0</v>
      </c>
    </row>
    <row r="664" spans="1:19" ht="108">
      <c r="A664" s="303">
        <v>659</v>
      </c>
      <c r="B664" s="304">
        <v>883</v>
      </c>
      <c r="C664" s="305" t="s">
        <v>709</v>
      </c>
      <c r="D664" s="306" t="s">
        <v>710</v>
      </c>
      <c r="E664" s="305" t="s">
        <v>856</v>
      </c>
      <c r="F664" s="306" t="s">
        <v>39</v>
      </c>
      <c r="G664" s="306" t="s">
        <v>2795</v>
      </c>
      <c r="H664" s="306" t="s">
        <v>2811</v>
      </c>
      <c r="I664" s="306" t="s">
        <v>2812</v>
      </c>
      <c r="J664" s="304" t="s">
        <v>87</v>
      </c>
      <c r="K664" s="307">
        <v>43466</v>
      </c>
      <c r="L664" s="309">
        <v>44926</v>
      </c>
      <c r="M664" s="306" t="s">
        <v>214</v>
      </c>
      <c r="N664" s="304" t="s">
        <v>96</v>
      </c>
      <c r="O664" s="306" t="s">
        <v>51</v>
      </c>
      <c r="P664" s="304">
        <v>0</v>
      </c>
      <c r="Q664" s="304">
        <v>0</v>
      </c>
      <c r="R664" s="304">
        <v>1</v>
      </c>
      <c r="S664" s="308">
        <v>0</v>
      </c>
    </row>
    <row r="665" spans="1:19" ht="108">
      <c r="A665" s="303">
        <v>660</v>
      </c>
      <c r="B665" s="304">
        <v>884</v>
      </c>
      <c r="C665" s="305" t="s">
        <v>709</v>
      </c>
      <c r="D665" s="306" t="s">
        <v>710</v>
      </c>
      <c r="E665" s="305" t="s">
        <v>856</v>
      </c>
      <c r="F665" s="306" t="s">
        <v>39</v>
      </c>
      <c r="G665" s="306" t="s">
        <v>2795</v>
      </c>
      <c r="H665" s="306" t="s">
        <v>2813</v>
      </c>
      <c r="I665" s="306" t="s">
        <v>2814</v>
      </c>
      <c r="J665" s="304" t="s">
        <v>87</v>
      </c>
      <c r="K665" s="307">
        <v>43466</v>
      </c>
      <c r="L665" s="309">
        <v>45291</v>
      </c>
      <c r="M665" s="306" t="s">
        <v>214</v>
      </c>
      <c r="N665" s="304" t="s">
        <v>96</v>
      </c>
      <c r="O665" s="306" t="s">
        <v>51</v>
      </c>
      <c r="P665" s="304">
        <v>0</v>
      </c>
      <c r="Q665" s="304">
        <v>0</v>
      </c>
      <c r="R665" s="304">
        <v>1</v>
      </c>
      <c r="S665" s="308">
        <v>0</v>
      </c>
    </row>
    <row r="666" spans="1:19" ht="108">
      <c r="A666" s="303">
        <v>661</v>
      </c>
      <c r="B666" s="304">
        <v>885</v>
      </c>
      <c r="C666" s="305" t="s">
        <v>709</v>
      </c>
      <c r="D666" s="306" t="s">
        <v>710</v>
      </c>
      <c r="E666" s="305" t="s">
        <v>856</v>
      </c>
      <c r="F666" s="306" t="s">
        <v>39</v>
      </c>
      <c r="G666" s="306" t="s">
        <v>2795</v>
      </c>
      <c r="H666" s="306" t="s">
        <v>2798</v>
      </c>
      <c r="I666" s="306" t="s">
        <v>2815</v>
      </c>
      <c r="J666" s="304" t="s">
        <v>87</v>
      </c>
      <c r="K666" s="307">
        <v>43466</v>
      </c>
      <c r="L666" s="309">
        <v>45657</v>
      </c>
      <c r="M666" s="306" t="s">
        <v>214</v>
      </c>
      <c r="N666" s="304" t="s">
        <v>96</v>
      </c>
      <c r="O666" s="306" t="s">
        <v>51</v>
      </c>
      <c r="P666" s="304">
        <v>0</v>
      </c>
      <c r="Q666" s="304">
        <v>0</v>
      </c>
      <c r="R666" s="304">
        <v>1</v>
      </c>
      <c r="S666" s="308">
        <v>0</v>
      </c>
    </row>
    <row r="667" spans="1:19" ht="409.6">
      <c r="A667" s="303">
        <v>662</v>
      </c>
      <c r="B667" s="304">
        <v>886</v>
      </c>
      <c r="C667" s="305" t="s">
        <v>707</v>
      </c>
      <c r="D667" s="306" t="s">
        <v>708</v>
      </c>
      <c r="E667" s="305" t="s">
        <v>858</v>
      </c>
      <c r="F667" s="306" t="s">
        <v>64</v>
      </c>
      <c r="G667" s="306" t="s">
        <v>2816</v>
      </c>
      <c r="H667" s="306" t="s">
        <v>2817</v>
      </c>
      <c r="I667" s="306" t="s">
        <v>2818</v>
      </c>
      <c r="J667" s="304" t="s">
        <v>97</v>
      </c>
      <c r="K667" s="307">
        <v>43466</v>
      </c>
      <c r="L667" s="307">
        <v>43739</v>
      </c>
      <c r="M667" s="306" t="s">
        <v>221</v>
      </c>
      <c r="N667" s="304" t="s">
        <v>90</v>
      </c>
      <c r="O667" s="306" t="s">
        <v>71</v>
      </c>
      <c r="P667" s="304">
        <v>1</v>
      </c>
      <c r="Q667" s="304">
        <v>1</v>
      </c>
      <c r="R667" s="304">
        <v>1</v>
      </c>
      <c r="S667" s="308">
        <v>1</v>
      </c>
    </row>
    <row r="668" spans="1:19" ht="262">
      <c r="A668" s="303">
        <v>663</v>
      </c>
      <c r="B668" s="304">
        <v>887</v>
      </c>
      <c r="C668" s="305" t="s">
        <v>707</v>
      </c>
      <c r="D668" s="306" t="s">
        <v>708</v>
      </c>
      <c r="E668" s="305" t="s">
        <v>858</v>
      </c>
      <c r="F668" s="306" t="s">
        <v>64</v>
      </c>
      <c r="G668" s="306" t="s">
        <v>2816</v>
      </c>
      <c r="H668" s="306" t="s">
        <v>1897</v>
      </c>
      <c r="I668" s="306" t="s">
        <v>2819</v>
      </c>
      <c r="J668" s="304" t="s">
        <v>87</v>
      </c>
      <c r="K668" s="307">
        <v>43466</v>
      </c>
      <c r="L668" s="309">
        <v>45641</v>
      </c>
      <c r="M668" s="306" t="s">
        <v>205</v>
      </c>
      <c r="N668" s="304" t="s">
        <v>90</v>
      </c>
      <c r="O668" s="306" t="s">
        <v>21</v>
      </c>
      <c r="P668" s="304">
        <v>1</v>
      </c>
      <c r="Q668" s="304">
        <v>1</v>
      </c>
      <c r="R668" s="304">
        <v>1</v>
      </c>
      <c r="S668" s="308">
        <v>1</v>
      </c>
    </row>
    <row r="669" spans="1:19" ht="273">
      <c r="A669" s="303">
        <v>664</v>
      </c>
      <c r="B669" s="304">
        <v>888</v>
      </c>
      <c r="C669" s="305" t="s">
        <v>707</v>
      </c>
      <c r="D669" s="306" t="s">
        <v>708</v>
      </c>
      <c r="E669" s="305" t="s">
        <v>858</v>
      </c>
      <c r="F669" s="306" t="s">
        <v>64</v>
      </c>
      <c r="G669" s="306" t="s">
        <v>2816</v>
      </c>
      <c r="H669" s="306" t="s">
        <v>2820</v>
      </c>
      <c r="I669" s="306" t="s">
        <v>2821</v>
      </c>
      <c r="J669" s="304" t="s">
        <v>97</v>
      </c>
      <c r="K669" s="307">
        <v>43466</v>
      </c>
      <c r="L669" s="307">
        <v>43709</v>
      </c>
      <c r="M669" s="306" t="s">
        <v>89</v>
      </c>
      <c r="N669" s="304" t="s">
        <v>90</v>
      </c>
      <c r="O669" s="306" t="s">
        <v>21</v>
      </c>
      <c r="P669" s="304">
        <v>1</v>
      </c>
      <c r="Q669" s="304">
        <v>1</v>
      </c>
      <c r="R669" s="304">
        <v>1</v>
      </c>
      <c r="S669" s="308">
        <v>1</v>
      </c>
    </row>
    <row r="670" spans="1:19" ht="262">
      <c r="A670" s="303">
        <v>665</v>
      </c>
      <c r="B670" s="304">
        <v>889</v>
      </c>
      <c r="C670" s="305" t="s">
        <v>707</v>
      </c>
      <c r="D670" s="306" t="s">
        <v>708</v>
      </c>
      <c r="E670" s="305" t="s">
        <v>858</v>
      </c>
      <c r="F670" s="306" t="s">
        <v>64</v>
      </c>
      <c r="G670" s="306" t="s">
        <v>2816</v>
      </c>
      <c r="H670" s="306" t="s">
        <v>1901</v>
      </c>
      <c r="I670" s="306" t="s">
        <v>2822</v>
      </c>
      <c r="J670" s="304" t="s">
        <v>87</v>
      </c>
      <c r="K670" s="307">
        <v>43466</v>
      </c>
      <c r="L670" s="309">
        <v>45641</v>
      </c>
      <c r="M670" s="306" t="s">
        <v>205</v>
      </c>
      <c r="N670" s="304" t="s">
        <v>90</v>
      </c>
      <c r="O670" s="306" t="s">
        <v>21</v>
      </c>
      <c r="P670" s="304">
        <v>1</v>
      </c>
      <c r="Q670" s="304">
        <v>1</v>
      </c>
      <c r="R670" s="304">
        <v>1</v>
      </c>
      <c r="S670" s="308">
        <v>1</v>
      </c>
    </row>
    <row r="671" spans="1:19" ht="228">
      <c r="A671" s="303">
        <v>666</v>
      </c>
      <c r="B671" s="304">
        <v>890</v>
      </c>
      <c r="C671" s="305" t="s">
        <v>707</v>
      </c>
      <c r="D671" s="306" t="s">
        <v>708</v>
      </c>
      <c r="E671" s="305" t="s">
        <v>858</v>
      </c>
      <c r="F671" s="306" t="s">
        <v>64</v>
      </c>
      <c r="G671" s="306" t="s">
        <v>2816</v>
      </c>
      <c r="H671" s="306" t="s">
        <v>2823</v>
      </c>
      <c r="I671" s="306" t="s">
        <v>2824</v>
      </c>
      <c r="J671" s="304" t="s">
        <v>97</v>
      </c>
      <c r="K671" s="307">
        <v>43466</v>
      </c>
      <c r="L671" s="307">
        <v>43647</v>
      </c>
      <c r="M671" s="306" t="s">
        <v>89</v>
      </c>
      <c r="N671" s="304" t="s">
        <v>90</v>
      </c>
      <c r="O671" s="306" t="s">
        <v>21</v>
      </c>
      <c r="P671" s="304">
        <v>1</v>
      </c>
      <c r="Q671" s="304">
        <v>1</v>
      </c>
      <c r="R671" s="304">
        <v>1</v>
      </c>
      <c r="S671" s="308">
        <v>1</v>
      </c>
    </row>
    <row r="672" spans="1:19" ht="240">
      <c r="A672" s="303">
        <v>667</v>
      </c>
      <c r="B672" s="304">
        <v>891</v>
      </c>
      <c r="C672" s="305" t="s">
        <v>707</v>
      </c>
      <c r="D672" s="306" t="s">
        <v>708</v>
      </c>
      <c r="E672" s="305" t="s">
        <v>858</v>
      </c>
      <c r="F672" s="306" t="s">
        <v>64</v>
      </c>
      <c r="G672" s="306" t="s">
        <v>2816</v>
      </c>
      <c r="H672" s="306" t="s">
        <v>2825</v>
      </c>
      <c r="I672" s="306" t="s">
        <v>2826</v>
      </c>
      <c r="J672" s="304" t="s">
        <v>97</v>
      </c>
      <c r="K672" s="307">
        <v>43466</v>
      </c>
      <c r="L672" s="307">
        <v>43739</v>
      </c>
      <c r="M672" s="306" t="s">
        <v>89</v>
      </c>
      <c r="N672" s="304" t="s">
        <v>90</v>
      </c>
      <c r="O672" s="306" t="s">
        <v>71</v>
      </c>
      <c r="P672" s="304">
        <v>1</v>
      </c>
      <c r="Q672" s="304">
        <v>1</v>
      </c>
      <c r="R672" s="304">
        <v>1</v>
      </c>
      <c r="S672" s="308">
        <v>1</v>
      </c>
    </row>
    <row r="673" spans="1:19" ht="409.6">
      <c r="A673" s="303">
        <v>668</v>
      </c>
      <c r="B673" s="304">
        <v>892</v>
      </c>
      <c r="C673" s="305" t="s">
        <v>707</v>
      </c>
      <c r="D673" s="306" t="s">
        <v>708</v>
      </c>
      <c r="E673" s="305" t="s">
        <v>858</v>
      </c>
      <c r="F673" s="306" t="s">
        <v>64</v>
      </c>
      <c r="G673" s="306" t="s">
        <v>2816</v>
      </c>
      <c r="H673" s="306" t="s">
        <v>2827</v>
      </c>
      <c r="I673" s="306" t="s">
        <v>2828</v>
      </c>
      <c r="J673" s="304" t="s">
        <v>87</v>
      </c>
      <c r="K673" s="307">
        <v>43466</v>
      </c>
      <c r="L673" s="309">
        <v>45641</v>
      </c>
      <c r="M673" s="306" t="s">
        <v>205</v>
      </c>
      <c r="N673" s="304" t="s">
        <v>90</v>
      </c>
      <c r="O673" s="306" t="s">
        <v>21</v>
      </c>
      <c r="P673" s="304">
        <v>1</v>
      </c>
      <c r="Q673" s="304">
        <v>1</v>
      </c>
      <c r="R673" s="304">
        <v>1</v>
      </c>
      <c r="S673" s="308">
        <v>1</v>
      </c>
    </row>
    <row r="674" spans="1:19" ht="405">
      <c r="A674" s="303">
        <v>669</v>
      </c>
      <c r="B674" s="304">
        <v>893</v>
      </c>
      <c r="C674" s="305" t="s">
        <v>707</v>
      </c>
      <c r="D674" s="306" t="s">
        <v>708</v>
      </c>
      <c r="E674" s="305" t="s">
        <v>858</v>
      </c>
      <c r="F674" s="306" t="s">
        <v>64</v>
      </c>
      <c r="G674" s="306" t="s">
        <v>2816</v>
      </c>
      <c r="H674" s="306" t="s">
        <v>2829</v>
      </c>
      <c r="I674" s="306" t="s">
        <v>2830</v>
      </c>
      <c r="J674" s="304" t="s">
        <v>87</v>
      </c>
      <c r="K674" s="307">
        <v>43466</v>
      </c>
      <c r="L674" s="309">
        <v>45641</v>
      </c>
      <c r="M674" s="306" t="s">
        <v>205</v>
      </c>
      <c r="N674" s="304" t="s">
        <v>90</v>
      </c>
      <c r="O674" s="306" t="s">
        <v>21</v>
      </c>
      <c r="P674" s="304">
        <v>1</v>
      </c>
      <c r="Q674" s="304">
        <v>1</v>
      </c>
      <c r="R674" s="304">
        <v>1</v>
      </c>
      <c r="S674" s="308">
        <v>1</v>
      </c>
    </row>
    <row r="675" spans="1:19" ht="216">
      <c r="A675" s="303">
        <v>670</v>
      </c>
      <c r="B675" s="304">
        <v>894</v>
      </c>
      <c r="C675" s="305" t="s">
        <v>707</v>
      </c>
      <c r="D675" s="306" t="s">
        <v>708</v>
      </c>
      <c r="E675" s="305" t="s">
        <v>858</v>
      </c>
      <c r="F675" s="306" t="s">
        <v>64</v>
      </c>
      <c r="G675" s="306" t="s">
        <v>2816</v>
      </c>
      <c r="H675" s="306" t="s">
        <v>2831</v>
      </c>
      <c r="I675" s="306" t="s">
        <v>2832</v>
      </c>
      <c r="J675" s="304" t="s">
        <v>87</v>
      </c>
      <c r="K675" s="307">
        <v>43466</v>
      </c>
      <c r="L675" s="309">
        <v>45641</v>
      </c>
      <c r="M675" s="306" t="s">
        <v>205</v>
      </c>
      <c r="N675" s="304" t="s">
        <v>90</v>
      </c>
      <c r="O675" s="306" t="s">
        <v>71</v>
      </c>
      <c r="P675" s="304">
        <v>1</v>
      </c>
      <c r="Q675" s="304">
        <v>1</v>
      </c>
      <c r="R675" s="304">
        <v>1</v>
      </c>
      <c r="S675" s="308">
        <v>1</v>
      </c>
    </row>
    <row r="676" spans="1:19" ht="317">
      <c r="A676" s="303">
        <v>671</v>
      </c>
      <c r="B676" s="304">
        <v>895</v>
      </c>
      <c r="C676" s="305" t="s">
        <v>707</v>
      </c>
      <c r="D676" s="306" t="s">
        <v>708</v>
      </c>
      <c r="E676" s="305" t="s">
        <v>858</v>
      </c>
      <c r="F676" s="306" t="s">
        <v>64</v>
      </c>
      <c r="G676" s="306" t="s">
        <v>2816</v>
      </c>
      <c r="H676" s="306" t="s">
        <v>2833</v>
      </c>
      <c r="I676" s="306" t="s">
        <v>2834</v>
      </c>
      <c r="J676" s="304" t="s">
        <v>87</v>
      </c>
      <c r="K676" s="307">
        <v>43466</v>
      </c>
      <c r="L676" s="309">
        <v>43814</v>
      </c>
      <c r="M676" s="306" t="s">
        <v>205</v>
      </c>
      <c r="N676" s="304" t="s">
        <v>90</v>
      </c>
      <c r="O676" s="306" t="s">
        <v>21</v>
      </c>
      <c r="P676" s="304">
        <v>1</v>
      </c>
      <c r="Q676" s="304">
        <v>1</v>
      </c>
      <c r="R676" s="304">
        <v>1</v>
      </c>
      <c r="S676" s="308">
        <v>1</v>
      </c>
    </row>
    <row r="677" spans="1:19" ht="251">
      <c r="A677" s="303">
        <v>672</v>
      </c>
      <c r="B677" s="304">
        <v>896</v>
      </c>
      <c r="C677" s="305" t="s">
        <v>707</v>
      </c>
      <c r="D677" s="306" t="s">
        <v>708</v>
      </c>
      <c r="E677" s="305" t="s">
        <v>858</v>
      </c>
      <c r="F677" s="306" t="s">
        <v>64</v>
      </c>
      <c r="G677" s="306" t="s">
        <v>2816</v>
      </c>
      <c r="H677" s="306" t="s">
        <v>2835</v>
      </c>
      <c r="I677" s="306" t="s">
        <v>2836</v>
      </c>
      <c r="J677" s="304" t="s">
        <v>87</v>
      </c>
      <c r="K677" s="307">
        <v>43466</v>
      </c>
      <c r="L677" s="309">
        <v>45641</v>
      </c>
      <c r="M677" s="306" t="s">
        <v>214</v>
      </c>
      <c r="N677" s="304" t="s">
        <v>96</v>
      </c>
      <c r="O677" s="306" t="s">
        <v>71</v>
      </c>
      <c r="P677" s="304">
        <v>1</v>
      </c>
      <c r="Q677" s="304">
        <v>1</v>
      </c>
      <c r="R677" s="304">
        <v>1</v>
      </c>
      <c r="S677" s="308">
        <v>1</v>
      </c>
    </row>
    <row r="678" spans="1:19" ht="144">
      <c r="A678" s="303">
        <v>673</v>
      </c>
      <c r="B678" s="304">
        <v>897</v>
      </c>
      <c r="C678" s="305" t="s">
        <v>707</v>
      </c>
      <c r="D678" s="306" t="s">
        <v>708</v>
      </c>
      <c r="E678" s="305" t="s">
        <v>858</v>
      </c>
      <c r="F678" s="306" t="s">
        <v>64</v>
      </c>
      <c r="G678" s="306" t="s">
        <v>2816</v>
      </c>
      <c r="H678" s="306" t="s">
        <v>2837</v>
      </c>
      <c r="I678" s="306" t="s">
        <v>2838</v>
      </c>
      <c r="J678" s="304" t="s">
        <v>87</v>
      </c>
      <c r="K678" s="307">
        <v>43466</v>
      </c>
      <c r="L678" s="309">
        <v>45641</v>
      </c>
      <c r="M678" s="306" t="s">
        <v>214</v>
      </c>
      <c r="N678" s="304" t="s">
        <v>96</v>
      </c>
      <c r="O678" s="306" t="s">
        <v>71</v>
      </c>
      <c r="P678" s="304">
        <v>1</v>
      </c>
      <c r="Q678" s="304">
        <v>1</v>
      </c>
      <c r="R678" s="304">
        <v>1</v>
      </c>
      <c r="S678" s="308">
        <v>1</v>
      </c>
    </row>
    <row r="679" spans="1:19" ht="240">
      <c r="A679" s="303">
        <v>674</v>
      </c>
      <c r="B679" s="304">
        <v>898</v>
      </c>
      <c r="C679" s="305" t="s">
        <v>707</v>
      </c>
      <c r="D679" s="306" t="s">
        <v>708</v>
      </c>
      <c r="E679" s="305" t="s">
        <v>858</v>
      </c>
      <c r="F679" s="306" t="s">
        <v>64</v>
      </c>
      <c r="G679" s="306" t="s">
        <v>2816</v>
      </c>
      <c r="H679" s="306" t="s">
        <v>2839</v>
      </c>
      <c r="I679" s="306" t="s">
        <v>2840</v>
      </c>
      <c r="J679" s="304" t="s">
        <v>87</v>
      </c>
      <c r="K679" s="307">
        <v>43466</v>
      </c>
      <c r="L679" s="309">
        <v>44545</v>
      </c>
      <c r="M679" s="306" t="s">
        <v>205</v>
      </c>
      <c r="N679" s="304" t="s">
        <v>90</v>
      </c>
      <c r="O679" s="306" t="s">
        <v>71</v>
      </c>
      <c r="P679" s="304">
        <v>1</v>
      </c>
      <c r="Q679" s="304">
        <v>1</v>
      </c>
      <c r="R679" s="304">
        <v>1</v>
      </c>
      <c r="S679" s="308">
        <v>1</v>
      </c>
    </row>
    <row r="680" spans="1:19" ht="284">
      <c r="A680" s="303">
        <v>675</v>
      </c>
      <c r="B680" s="304">
        <v>899</v>
      </c>
      <c r="C680" s="305" t="s">
        <v>707</v>
      </c>
      <c r="D680" s="306" t="s">
        <v>708</v>
      </c>
      <c r="E680" s="305" t="s">
        <v>858</v>
      </c>
      <c r="F680" s="306" t="s">
        <v>64</v>
      </c>
      <c r="G680" s="306" t="s">
        <v>2816</v>
      </c>
      <c r="H680" s="306" t="s">
        <v>2841</v>
      </c>
      <c r="I680" s="306" t="s">
        <v>2842</v>
      </c>
      <c r="J680" s="304" t="s">
        <v>97</v>
      </c>
      <c r="K680" s="307">
        <v>43466</v>
      </c>
      <c r="L680" s="307">
        <v>44105</v>
      </c>
      <c r="M680" s="306" t="s">
        <v>89</v>
      </c>
      <c r="N680" s="304" t="s">
        <v>90</v>
      </c>
      <c r="O680" s="306" t="s">
        <v>21</v>
      </c>
      <c r="P680" s="304">
        <v>1</v>
      </c>
      <c r="Q680" s="304">
        <v>1</v>
      </c>
      <c r="R680" s="304">
        <v>1</v>
      </c>
      <c r="S680" s="308">
        <v>1</v>
      </c>
    </row>
    <row r="681" spans="1:19" ht="84">
      <c r="A681" s="303">
        <v>676</v>
      </c>
      <c r="B681" s="304">
        <v>900</v>
      </c>
      <c r="C681" s="305" t="s">
        <v>707</v>
      </c>
      <c r="D681" s="306" t="s">
        <v>708</v>
      </c>
      <c r="E681" s="305" t="s">
        <v>858</v>
      </c>
      <c r="F681" s="306" t="s">
        <v>64</v>
      </c>
      <c r="G681" s="306" t="s">
        <v>2816</v>
      </c>
      <c r="H681" s="306" t="s">
        <v>2843</v>
      </c>
      <c r="I681" s="306" t="s">
        <v>2844</v>
      </c>
      <c r="J681" s="304" t="s">
        <v>87</v>
      </c>
      <c r="K681" s="307">
        <v>43466</v>
      </c>
      <c r="L681" s="309">
        <v>45641</v>
      </c>
      <c r="M681" s="306" t="s">
        <v>205</v>
      </c>
      <c r="N681" s="304" t="s">
        <v>90</v>
      </c>
      <c r="O681" s="306" t="s">
        <v>21</v>
      </c>
      <c r="P681" s="304">
        <v>1</v>
      </c>
      <c r="Q681" s="304">
        <v>1</v>
      </c>
      <c r="R681" s="304">
        <v>1</v>
      </c>
      <c r="S681" s="308">
        <v>1</v>
      </c>
    </row>
    <row r="682" spans="1:19" ht="409.6">
      <c r="A682" s="303">
        <v>677</v>
      </c>
      <c r="B682" s="304">
        <v>901</v>
      </c>
      <c r="C682" s="305" t="s">
        <v>707</v>
      </c>
      <c r="D682" s="306" t="s">
        <v>708</v>
      </c>
      <c r="E682" s="305" t="s">
        <v>858</v>
      </c>
      <c r="F682" s="306" t="s">
        <v>64</v>
      </c>
      <c r="G682" s="306" t="s">
        <v>2816</v>
      </c>
      <c r="H682" s="306" t="s">
        <v>2845</v>
      </c>
      <c r="I682" s="306" t="s">
        <v>2846</v>
      </c>
      <c r="J682" s="304" t="s">
        <v>87</v>
      </c>
      <c r="K682" s="307">
        <v>43466</v>
      </c>
      <c r="L682" s="309">
        <v>45641</v>
      </c>
      <c r="M682" s="306" t="s">
        <v>89</v>
      </c>
      <c r="N682" s="304" t="s">
        <v>96</v>
      </c>
      <c r="O682" s="306" t="s">
        <v>21</v>
      </c>
      <c r="P682" s="304">
        <v>1</v>
      </c>
      <c r="Q682" s="304">
        <v>1</v>
      </c>
      <c r="R682" s="304">
        <v>1</v>
      </c>
      <c r="S682" s="308">
        <v>1</v>
      </c>
    </row>
    <row r="683" spans="1:19" ht="96">
      <c r="A683" s="303">
        <v>678</v>
      </c>
      <c r="B683" s="304">
        <v>902</v>
      </c>
      <c r="C683" s="305" t="s">
        <v>707</v>
      </c>
      <c r="D683" s="306" t="s">
        <v>708</v>
      </c>
      <c r="E683" s="305" t="s">
        <v>858</v>
      </c>
      <c r="F683" s="306" t="s">
        <v>64</v>
      </c>
      <c r="G683" s="306" t="s">
        <v>2816</v>
      </c>
      <c r="H683" s="306" t="s">
        <v>2847</v>
      </c>
      <c r="I683" s="306"/>
      <c r="J683" s="304" t="s">
        <v>87</v>
      </c>
      <c r="K683" s="307">
        <v>43466</v>
      </c>
      <c r="L683" s="309">
        <v>43814</v>
      </c>
      <c r="M683" s="306" t="s">
        <v>205</v>
      </c>
      <c r="N683" s="304" t="s">
        <v>90</v>
      </c>
      <c r="O683" s="306" t="s">
        <v>21</v>
      </c>
      <c r="P683" s="304">
        <v>1</v>
      </c>
      <c r="Q683" s="304">
        <v>1</v>
      </c>
      <c r="R683" s="304">
        <v>1</v>
      </c>
      <c r="S683" s="308">
        <v>1</v>
      </c>
    </row>
    <row r="684" spans="1:19" ht="132">
      <c r="A684" s="303">
        <v>679</v>
      </c>
      <c r="B684" s="304">
        <v>903</v>
      </c>
      <c r="C684" s="305" t="s">
        <v>707</v>
      </c>
      <c r="D684" s="306" t="s">
        <v>708</v>
      </c>
      <c r="E684" s="305" t="s">
        <v>858</v>
      </c>
      <c r="F684" s="306" t="s">
        <v>64</v>
      </c>
      <c r="G684" s="306" t="s">
        <v>2816</v>
      </c>
      <c r="H684" s="306" t="s">
        <v>2848</v>
      </c>
      <c r="I684" s="306"/>
      <c r="J684" s="304" t="s">
        <v>87</v>
      </c>
      <c r="K684" s="307">
        <v>43466</v>
      </c>
      <c r="L684" s="309">
        <v>43814</v>
      </c>
      <c r="M684" s="306" t="s">
        <v>344</v>
      </c>
      <c r="N684" s="304" t="s">
        <v>90</v>
      </c>
      <c r="O684" s="306" t="s">
        <v>71</v>
      </c>
      <c r="P684" s="304">
        <v>1</v>
      </c>
      <c r="Q684" s="304">
        <v>1</v>
      </c>
      <c r="R684" s="304">
        <v>1</v>
      </c>
      <c r="S684" s="308">
        <v>1</v>
      </c>
    </row>
    <row r="685" spans="1:19" ht="120">
      <c r="A685" s="303">
        <v>680</v>
      </c>
      <c r="B685" s="304">
        <v>904</v>
      </c>
      <c r="C685" s="305" t="s">
        <v>707</v>
      </c>
      <c r="D685" s="306" t="s">
        <v>708</v>
      </c>
      <c r="E685" s="305" t="s">
        <v>860</v>
      </c>
      <c r="F685" s="306" t="s">
        <v>1586</v>
      </c>
      <c r="G685" s="306" t="s">
        <v>2849</v>
      </c>
      <c r="H685" s="306" t="s">
        <v>1732</v>
      </c>
      <c r="I685" s="306" t="s">
        <v>2850</v>
      </c>
      <c r="J685" s="304" t="s">
        <v>87</v>
      </c>
      <c r="K685" s="307">
        <v>43466</v>
      </c>
      <c r="L685" s="307">
        <v>43922</v>
      </c>
      <c r="M685" s="306" t="s">
        <v>89</v>
      </c>
      <c r="N685" s="304" t="s">
        <v>90</v>
      </c>
      <c r="O685" s="306" t="s">
        <v>20</v>
      </c>
      <c r="P685" s="304">
        <v>1</v>
      </c>
      <c r="Q685" s="304">
        <v>1</v>
      </c>
      <c r="R685" s="304">
        <v>1</v>
      </c>
      <c r="S685" s="308">
        <v>1</v>
      </c>
    </row>
    <row r="686" spans="1:19" ht="120">
      <c r="A686" s="303">
        <v>681</v>
      </c>
      <c r="B686" s="304">
        <v>905</v>
      </c>
      <c r="C686" s="305" t="s">
        <v>707</v>
      </c>
      <c r="D686" s="306" t="s">
        <v>708</v>
      </c>
      <c r="E686" s="305" t="s">
        <v>860</v>
      </c>
      <c r="F686" s="306" t="s">
        <v>1586</v>
      </c>
      <c r="G686" s="306" t="s">
        <v>2849</v>
      </c>
      <c r="H686" s="306" t="s">
        <v>1735</v>
      </c>
      <c r="I686" s="306" t="s">
        <v>2851</v>
      </c>
      <c r="J686" s="304" t="s">
        <v>87</v>
      </c>
      <c r="K686" s="307">
        <v>43466</v>
      </c>
      <c r="L686" s="309">
        <v>45657</v>
      </c>
      <c r="M686" s="306" t="s">
        <v>89</v>
      </c>
      <c r="N686" s="304" t="s">
        <v>90</v>
      </c>
      <c r="O686" s="306" t="s">
        <v>20</v>
      </c>
      <c r="P686" s="304">
        <v>1</v>
      </c>
      <c r="Q686" s="304">
        <v>1</v>
      </c>
      <c r="R686" s="304">
        <v>1</v>
      </c>
      <c r="S686" s="308">
        <v>1</v>
      </c>
    </row>
    <row r="687" spans="1:19" ht="144">
      <c r="A687" s="303">
        <v>682</v>
      </c>
      <c r="B687" s="304">
        <v>906</v>
      </c>
      <c r="C687" s="305" t="s">
        <v>707</v>
      </c>
      <c r="D687" s="306" t="s">
        <v>708</v>
      </c>
      <c r="E687" s="305" t="s">
        <v>860</v>
      </c>
      <c r="F687" s="306" t="s">
        <v>1586</v>
      </c>
      <c r="G687" s="306" t="s">
        <v>2849</v>
      </c>
      <c r="H687" s="306" t="s">
        <v>1740</v>
      </c>
      <c r="I687" s="306" t="s">
        <v>2852</v>
      </c>
      <c r="J687" s="304" t="s">
        <v>87</v>
      </c>
      <c r="K687" s="307">
        <v>43466</v>
      </c>
      <c r="L687" s="309">
        <v>43784</v>
      </c>
      <c r="M687" s="306" t="s">
        <v>89</v>
      </c>
      <c r="N687" s="304" t="s">
        <v>90</v>
      </c>
      <c r="O687" s="306" t="s">
        <v>20</v>
      </c>
      <c r="P687" s="304">
        <v>1</v>
      </c>
      <c r="Q687" s="304">
        <v>1</v>
      </c>
      <c r="R687" s="304">
        <v>1</v>
      </c>
      <c r="S687" s="308">
        <v>1</v>
      </c>
    </row>
    <row r="688" spans="1:19" ht="120">
      <c r="A688" s="303">
        <v>683</v>
      </c>
      <c r="B688" s="304">
        <v>907</v>
      </c>
      <c r="C688" s="305" t="s">
        <v>707</v>
      </c>
      <c r="D688" s="306" t="s">
        <v>708</v>
      </c>
      <c r="E688" s="305" t="s">
        <v>860</v>
      </c>
      <c r="F688" s="306" t="s">
        <v>1586</v>
      </c>
      <c r="G688" s="306" t="s">
        <v>2849</v>
      </c>
      <c r="H688" s="306" t="s">
        <v>1743</v>
      </c>
      <c r="I688" s="306" t="s">
        <v>2853</v>
      </c>
      <c r="J688" s="304" t="s">
        <v>87</v>
      </c>
      <c r="K688" s="307">
        <v>43466</v>
      </c>
      <c r="L688" s="309">
        <v>45657</v>
      </c>
      <c r="M688" s="306" t="s">
        <v>211</v>
      </c>
      <c r="N688" s="304" t="s">
        <v>96</v>
      </c>
      <c r="O688" s="306" t="s">
        <v>20</v>
      </c>
      <c r="P688" s="304">
        <v>1</v>
      </c>
      <c r="Q688" s="304">
        <v>1</v>
      </c>
      <c r="R688" s="304">
        <v>1</v>
      </c>
      <c r="S688" s="308">
        <v>1</v>
      </c>
    </row>
    <row r="689" spans="1:19" ht="120">
      <c r="A689" s="303">
        <v>684</v>
      </c>
      <c r="B689" s="304">
        <v>908</v>
      </c>
      <c r="C689" s="305" t="s">
        <v>707</v>
      </c>
      <c r="D689" s="306" t="s">
        <v>708</v>
      </c>
      <c r="E689" s="305" t="s">
        <v>860</v>
      </c>
      <c r="F689" s="306" t="s">
        <v>1586</v>
      </c>
      <c r="G689" s="306" t="s">
        <v>2849</v>
      </c>
      <c r="H689" s="306" t="s">
        <v>1750</v>
      </c>
      <c r="I689" s="306" t="s">
        <v>2854</v>
      </c>
      <c r="J689" s="304" t="s">
        <v>87</v>
      </c>
      <c r="K689" s="307">
        <v>43466</v>
      </c>
      <c r="L689" s="309">
        <v>43830</v>
      </c>
      <c r="M689" s="306" t="s">
        <v>2855</v>
      </c>
      <c r="N689" s="304" t="s">
        <v>90</v>
      </c>
      <c r="O689" s="306" t="s">
        <v>20</v>
      </c>
      <c r="P689" s="304">
        <v>1</v>
      </c>
      <c r="Q689" s="304">
        <v>1</v>
      </c>
      <c r="R689" s="304">
        <v>1</v>
      </c>
      <c r="S689" s="308">
        <v>1</v>
      </c>
    </row>
    <row r="690" spans="1:19" ht="120">
      <c r="A690" s="303">
        <v>685</v>
      </c>
      <c r="B690" s="304">
        <v>909</v>
      </c>
      <c r="C690" s="305" t="s">
        <v>707</v>
      </c>
      <c r="D690" s="306" t="s">
        <v>708</v>
      </c>
      <c r="E690" s="305" t="s">
        <v>860</v>
      </c>
      <c r="F690" s="306" t="s">
        <v>1586</v>
      </c>
      <c r="G690" s="306" t="s">
        <v>2849</v>
      </c>
      <c r="H690" s="306" t="s">
        <v>1753</v>
      </c>
      <c r="I690" s="306" t="s">
        <v>2856</v>
      </c>
      <c r="J690" s="304" t="s">
        <v>87</v>
      </c>
      <c r="K690" s="307">
        <v>43466</v>
      </c>
      <c r="L690" s="309">
        <v>43830</v>
      </c>
      <c r="M690" s="306" t="s">
        <v>2857</v>
      </c>
      <c r="N690" s="304" t="s">
        <v>90</v>
      </c>
      <c r="O690" s="306" t="s">
        <v>20</v>
      </c>
      <c r="P690" s="304">
        <v>1</v>
      </c>
      <c r="Q690" s="304">
        <v>1</v>
      </c>
      <c r="R690" s="304">
        <v>1</v>
      </c>
      <c r="S690" s="308">
        <v>1</v>
      </c>
    </row>
    <row r="691" spans="1:19" ht="216">
      <c r="A691" s="303">
        <v>686</v>
      </c>
      <c r="B691" s="304">
        <v>910</v>
      </c>
      <c r="C691" s="305" t="s">
        <v>707</v>
      </c>
      <c r="D691" s="306" t="s">
        <v>708</v>
      </c>
      <c r="E691" s="305" t="s">
        <v>860</v>
      </c>
      <c r="F691" s="306" t="s">
        <v>1586</v>
      </c>
      <c r="G691" s="306" t="s">
        <v>2849</v>
      </c>
      <c r="H691" s="306" t="s">
        <v>1756</v>
      </c>
      <c r="I691" s="306" t="s">
        <v>2858</v>
      </c>
      <c r="J691" s="304" t="s">
        <v>87</v>
      </c>
      <c r="K691" s="307">
        <v>43466</v>
      </c>
      <c r="L691" s="309">
        <v>43830</v>
      </c>
      <c r="M691" s="306" t="s">
        <v>2859</v>
      </c>
      <c r="N691" s="304" t="s">
        <v>90</v>
      </c>
      <c r="O691" s="306" t="s">
        <v>20</v>
      </c>
      <c r="P691" s="304">
        <v>1</v>
      </c>
      <c r="Q691" s="304">
        <v>1</v>
      </c>
      <c r="R691" s="304">
        <v>1</v>
      </c>
      <c r="S691" s="308">
        <v>1</v>
      </c>
    </row>
    <row r="692" spans="1:19" ht="120">
      <c r="A692" s="303">
        <v>687</v>
      </c>
      <c r="B692" s="304">
        <v>911</v>
      </c>
      <c r="C692" s="305" t="s">
        <v>707</v>
      </c>
      <c r="D692" s="306" t="s">
        <v>708</v>
      </c>
      <c r="E692" s="305" t="s">
        <v>860</v>
      </c>
      <c r="F692" s="306" t="s">
        <v>1586</v>
      </c>
      <c r="G692" s="306" t="s">
        <v>2849</v>
      </c>
      <c r="H692" s="306" t="s">
        <v>1761</v>
      </c>
      <c r="I692" s="306" t="s">
        <v>2860</v>
      </c>
      <c r="J692" s="304" t="s">
        <v>87</v>
      </c>
      <c r="K692" s="307">
        <v>43466</v>
      </c>
      <c r="L692" s="307">
        <v>43524</v>
      </c>
      <c r="M692" s="306" t="s">
        <v>1483</v>
      </c>
      <c r="N692" s="304" t="s">
        <v>90</v>
      </c>
      <c r="O692" s="306" t="s">
        <v>20</v>
      </c>
      <c r="P692" s="304">
        <v>1</v>
      </c>
      <c r="Q692" s="304">
        <v>1</v>
      </c>
      <c r="R692" s="304">
        <v>1</v>
      </c>
      <c r="S692" s="308">
        <v>1</v>
      </c>
    </row>
    <row r="693" spans="1:19" ht="120">
      <c r="A693" s="303">
        <v>688</v>
      </c>
      <c r="B693" s="304">
        <v>912</v>
      </c>
      <c r="C693" s="305" t="s">
        <v>707</v>
      </c>
      <c r="D693" s="306" t="s">
        <v>708</v>
      </c>
      <c r="E693" s="305" t="s">
        <v>860</v>
      </c>
      <c r="F693" s="306" t="s">
        <v>1586</v>
      </c>
      <c r="G693" s="306" t="s">
        <v>2849</v>
      </c>
      <c r="H693" s="306" t="s">
        <v>1764</v>
      </c>
      <c r="I693" s="306" t="s">
        <v>2861</v>
      </c>
      <c r="J693" s="304" t="s">
        <v>87</v>
      </c>
      <c r="K693" s="307">
        <v>43466</v>
      </c>
      <c r="L693" s="309">
        <v>43799</v>
      </c>
      <c r="M693" s="306" t="s">
        <v>2862</v>
      </c>
      <c r="N693" s="304" t="s">
        <v>90</v>
      </c>
      <c r="O693" s="306" t="s">
        <v>20</v>
      </c>
      <c r="P693" s="304">
        <v>1</v>
      </c>
      <c r="Q693" s="304">
        <v>1</v>
      </c>
      <c r="R693" s="304">
        <v>1</v>
      </c>
      <c r="S693" s="308">
        <v>1</v>
      </c>
    </row>
    <row r="694" spans="1:19" ht="204">
      <c r="A694" s="303">
        <v>689</v>
      </c>
      <c r="B694" s="304">
        <v>913</v>
      </c>
      <c r="C694" s="305" t="s">
        <v>707</v>
      </c>
      <c r="D694" s="306" t="s">
        <v>708</v>
      </c>
      <c r="E694" s="305" t="s">
        <v>860</v>
      </c>
      <c r="F694" s="306" t="s">
        <v>1586</v>
      </c>
      <c r="G694" s="306" t="s">
        <v>2849</v>
      </c>
      <c r="H694" s="306" t="s">
        <v>1769</v>
      </c>
      <c r="I694" s="306" t="s">
        <v>2863</v>
      </c>
      <c r="J694" s="304" t="s">
        <v>87</v>
      </c>
      <c r="K694" s="307">
        <v>43466</v>
      </c>
      <c r="L694" s="309">
        <v>43799</v>
      </c>
      <c r="M694" s="306" t="s">
        <v>2518</v>
      </c>
      <c r="N694" s="304" t="s">
        <v>90</v>
      </c>
      <c r="O694" s="306" t="s">
        <v>20</v>
      </c>
      <c r="P694" s="304">
        <v>1</v>
      </c>
      <c r="Q694" s="304">
        <v>1</v>
      </c>
      <c r="R694" s="304">
        <v>1</v>
      </c>
      <c r="S694" s="308">
        <v>1</v>
      </c>
    </row>
    <row r="695" spans="1:19" ht="168">
      <c r="A695" s="303">
        <v>690</v>
      </c>
      <c r="B695" s="304">
        <v>914</v>
      </c>
      <c r="C695" s="305" t="s">
        <v>707</v>
      </c>
      <c r="D695" s="306" t="s">
        <v>708</v>
      </c>
      <c r="E695" s="305" t="s">
        <v>860</v>
      </c>
      <c r="F695" s="306" t="s">
        <v>1586</v>
      </c>
      <c r="G695" s="306" t="s">
        <v>2849</v>
      </c>
      <c r="H695" s="306" t="s">
        <v>1774</v>
      </c>
      <c r="I695" s="306" t="s">
        <v>2864</v>
      </c>
      <c r="J695" s="304" t="s">
        <v>87</v>
      </c>
      <c r="K695" s="307">
        <v>43466</v>
      </c>
      <c r="L695" s="307">
        <v>43678</v>
      </c>
      <c r="M695" s="306" t="s">
        <v>2865</v>
      </c>
      <c r="N695" s="304" t="s">
        <v>90</v>
      </c>
      <c r="O695" s="306" t="s">
        <v>20</v>
      </c>
      <c r="P695" s="304">
        <v>1</v>
      </c>
      <c r="Q695" s="304">
        <v>1</v>
      </c>
      <c r="R695" s="304">
        <v>1</v>
      </c>
      <c r="S695" s="308">
        <v>1</v>
      </c>
    </row>
    <row r="696" spans="1:19" ht="180">
      <c r="A696" s="303">
        <v>691</v>
      </c>
      <c r="B696" s="304">
        <v>915</v>
      </c>
      <c r="C696" s="305" t="s">
        <v>707</v>
      </c>
      <c r="D696" s="306" t="s">
        <v>708</v>
      </c>
      <c r="E696" s="305" t="s">
        <v>860</v>
      </c>
      <c r="F696" s="306" t="s">
        <v>1586</v>
      </c>
      <c r="G696" s="306" t="s">
        <v>2849</v>
      </c>
      <c r="H696" s="306" t="s">
        <v>1777</v>
      </c>
      <c r="I696" s="306" t="s">
        <v>2866</v>
      </c>
      <c r="J696" s="304" t="s">
        <v>87</v>
      </c>
      <c r="K696" s="307">
        <v>43466</v>
      </c>
      <c r="L696" s="307">
        <v>43709</v>
      </c>
      <c r="M696" s="306" t="s">
        <v>2862</v>
      </c>
      <c r="N696" s="304" t="s">
        <v>90</v>
      </c>
      <c r="O696" s="306" t="s">
        <v>20</v>
      </c>
      <c r="P696" s="304">
        <v>1</v>
      </c>
      <c r="Q696" s="304">
        <v>1</v>
      </c>
      <c r="R696" s="304">
        <v>1</v>
      </c>
      <c r="S696" s="308">
        <v>1</v>
      </c>
    </row>
    <row r="697" spans="1:19" ht="284">
      <c r="A697" s="303">
        <v>692</v>
      </c>
      <c r="B697" s="304">
        <v>916</v>
      </c>
      <c r="C697" s="305" t="s">
        <v>707</v>
      </c>
      <c r="D697" s="306" t="s">
        <v>708</v>
      </c>
      <c r="E697" s="305" t="s">
        <v>860</v>
      </c>
      <c r="F697" s="306" t="s">
        <v>1586</v>
      </c>
      <c r="G697" s="306" t="s">
        <v>2849</v>
      </c>
      <c r="H697" s="306" t="s">
        <v>1780</v>
      </c>
      <c r="I697" s="306" t="s">
        <v>2867</v>
      </c>
      <c r="J697" s="304" t="s">
        <v>87</v>
      </c>
      <c r="K697" s="307">
        <v>43466</v>
      </c>
      <c r="L697" s="309">
        <v>43830</v>
      </c>
      <c r="M697" s="306" t="s">
        <v>95</v>
      </c>
      <c r="N697" s="304" t="s">
        <v>96</v>
      </c>
      <c r="O697" s="306" t="s">
        <v>20</v>
      </c>
      <c r="P697" s="304">
        <v>1</v>
      </c>
      <c r="Q697" s="304">
        <v>1</v>
      </c>
      <c r="R697" s="304">
        <v>1</v>
      </c>
      <c r="S697" s="308">
        <v>1</v>
      </c>
    </row>
    <row r="698" spans="1:19" ht="240">
      <c r="A698" s="303">
        <v>693</v>
      </c>
      <c r="B698" s="304">
        <v>917</v>
      </c>
      <c r="C698" s="305" t="s">
        <v>707</v>
      </c>
      <c r="D698" s="306" t="s">
        <v>708</v>
      </c>
      <c r="E698" s="305" t="s">
        <v>860</v>
      </c>
      <c r="F698" s="306" t="s">
        <v>1586</v>
      </c>
      <c r="G698" s="306" t="s">
        <v>2849</v>
      </c>
      <c r="H698" s="306" t="s">
        <v>1785</v>
      </c>
      <c r="I698" s="306" t="s">
        <v>2868</v>
      </c>
      <c r="J698" s="304" t="s">
        <v>87</v>
      </c>
      <c r="K698" s="307">
        <v>43466</v>
      </c>
      <c r="L698" s="309">
        <v>45657</v>
      </c>
      <c r="M698" s="306" t="s">
        <v>439</v>
      </c>
      <c r="N698" s="304" t="s">
        <v>96</v>
      </c>
      <c r="O698" s="306" t="s">
        <v>20</v>
      </c>
      <c r="P698" s="304">
        <v>1</v>
      </c>
      <c r="Q698" s="304">
        <v>1</v>
      </c>
      <c r="R698" s="304">
        <v>1</v>
      </c>
      <c r="S698" s="308">
        <v>1</v>
      </c>
    </row>
    <row r="699" spans="1:19" ht="284">
      <c r="A699" s="303">
        <v>694</v>
      </c>
      <c r="B699" s="304">
        <v>918</v>
      </c>
      <c r="C699" s="305" t="s">
        <v>707</v>
      </c>
      <c r="D699" s="306" t="s">
        <v>708</v>
      </c>
      <c r="E699" s="305" t="s">
        <v>860</v>
      </c>
      <c r="F699" s="306" t="s">
        <v>1586</v>
      </c>
      <c r="G699" s="306" t="s">
        <v>2849</v>
      </c>
      <c r="H699" s="306" t="s">
        <v>1790</v>
      </c>
      <c r="I699" s="306" t="s">
        <v>2869</v>
      </c>
      <c r="J699" s="304" t="s">
        <v>87</v>
      </c>
      <c r="K699" s="307">
        <v>43466</v>
      </c>
      <c r="L699" s="309">
        <v>44561</v>
      </c>
      <c r="M699" s="306" t="s">
        <v>95</v>
      </c>
      <c r="N699" s="304" t="s">
        <v>96</v>
      </c>
      <c r="O699" s="306" t="s">
        <v>20</v>
      </c>
      <c r="P699" s="304">
        <v>1</v>
      </c>
      <c r="Q699" s="304">
        <v>1</v>
      </c>
      <c r="R699" s="304">
        <v>1</v>
      </c>
      <c r="S699" s="308">
        <v>1</v>
      </c>
    </row>
    <row r="700" spans="1:19" ht="251">
      <c r="A700" s="303">
        <v>695</v>
      </c>
      <c r="B700" s="304">
        <v>919</v>
      </c>
      <c r="C700" s="305" t="s">
        <v>707</v>
      </c>
      <c r="D700" s="306" t="s">
        <v>708</v>
      </c>
      <c r="E700" s="305" t="s">
        <v>860</v>
      </c>
      <c r="F700" s="306" t="s">
        <v>1586</v>
      </c>
      <c r="G700" s="306" t="s">
        <v>2849</v>
      </c>
      <c r="H700" s="306" t="s">
        <v>1793</v>
      </c>
      <c r="I700" s="306" t="s">
        <v>1794</v>
      </c>
      <c r="J700" s="304" t="s">
        <v>97</v>
      </c>
      <c r="K700" s="307">
        <v>43466</v>
      </c>
      <c r="L700" s="309">
        <v>45657</v>
      </c>
      <c r="M700" s="306" t="s">
        <v>439</v>
      </c>
      <c r="N700" s="304" t="s">
        <v>96</v>
      </c>
      <c r="O700" s="306" t="s">
        <v>20</v>
      </c>
      <c r="P700" s="304">
        <v>1</v>
      </c>
      <c r="Q700" s="304">
        <v>1</v>
      </c>
      <c r="R700" s="304">
        <v>1</v>
      </c>
      <c r="S700" s="308">
        <v>1</v>
      </c>
    </row>
    <row r="701" spans="1:19" ht="156">
      <c r="A701" s="303">
        <v>696</v>
      </c>
      <c r="B701" s="304">
        <v>920</v>
      </c>
      <c r="C701" s="305" t="s">
        <v>707</v>
      </c>
      <c r="D701" s="306" t="s">
        <v>708</v>
      </c>
      <c r="E701" s="305" t="s">
        <v>860</v>
      </c>
      <c r="F701" s="306" t="s">
        <v>1586</v>
      </c>
      <c r="G701" s="306" t="s">
        <v>2849</v>
      </c>
      <c r="H701" s="306" t="s">
        <v>1799</v>
      </c>
      <c r="I701" s="306"/>
      <c r="J701" s="304" t="s">
        <v>97</v>
      </c>
      <c r="K701" s="307">
        <v>43466</v>
      </c>
      <c r="L701" s="309">
        <v>44196</v>
      </c>
      <c r="M701" s="306" t="s">
        <v>95</v>
      </c>
      <c r="N701" s="304" t="s">
        <v>96</v>
      </c>
      <c r="O701" s="306" t="s">
        <v>20</v>
      </c>
      <c r="P701" s="304">
        <v>1</v>
      </c>
      <c r="Q701" s="304">
        <v>1</v>
      </c>
      <c r="R701" s="304">
        <v>1</v>
      </c>
      <c r="S701" s="308">
        <v>1</v>
      </c>
    </row>
    <row r="702" spans="1:19" ht="284">
      <c r="A702" s="303">
        <v>697</v>
      </c>
      <c r="B702" s="304">
        <v>921</v>
      </c>
      <c r="C702" s="305" t="s">
        <v>707</v>
      </c>
      <c r="D702" s="306" t="s">
        <v>708</v>
      </c>
      <c r="E702" s="305" t="s">
        <v>862</v>
      </c>
      <c r="F702" s="306" t="s">
        <v>62</v>
      </c>
      <c r="G702" s="306" t="s">
        <v>2870</v>
      </c>
      <c r="H702" s="306" t="s">
        <v>1827</v>
      </c>
      <c r="I702" s="306" t="s">
        <v>2871</v>
      </c>
      <c r="J702" s="304" t="s">
        <v>87</v>
      </c>
      <c r="K702" s="307">
        <v>43466</v>
      </c>
      <c r="L702" s="307">
        <v>43570</v>
      </c>
      <c r="M702" s="306" t="s">
        <v>89</v>
      </c>
      <c r="N702" s="304" t="s">
        <v>90</v>
      </c>
      <c r="O702" s="306" t="s">
        <v>71</v>
      </c>
      <c r="P702" s="304">
        <v>1</v>
      </c>
      <c r="Q702" s="304">
        <v>1</v>
      </c>
      <c r="R702" s="304">
        <v>1</v>
      </c>
      <c r="S702" s="308">
        <v>1</v>
      </c>
    </row>
    <row r="703" spans="1:19" ht="216">
      <c r="A703" s="303">
        <v>698</v>
      </c>
      <c r="B703" s="304">
        <v>922</v>
      </c>
      <c r="C703" s="305" t="s">
        <v>707</v>
      </c>
      <c r="D703" s="306" t="s">
        <v>708</v>
      </c>
      <c r="E703" s="305" t="s">
        <v>862</v>
      </c>
      <c r="F703" s="306" t="s">
        <v>62</v>
      </c>
      <c r="G703" s="306" t="s">
        <v>2870</v>
      </c>
      <c r="H703" s="306" t="s">
        <v>1829</v>
      </c>
      <c r="I703" s="306" t="s">
        <v>2873</v>
      </c>
      <c r="J703" s="304" t="s">
        <v>87</v>
      </c>
      <c r="K703" s="307">
        <v>43466</v>
      </c>
      <c r="L703" s="307">
        <v>43525</v>
      </c>
      <c r="M703" s="306" t="s">
        <v>221</v>
      </c>
      <c r="N703" s="304" t="s">
        <v>90</v>
      </c>
      <c r="O703" s="306" t="s">
        <v>55</v>
      </c>
      <c r="P703" s="304">
        <v>1</v>
      </c>
      <c r="Q703" s="304">
        <v>1</v>
      </c>
      <c r="R703" s="304">
        <v>1</v>
      </c>
      <c r="S703" s="308">
        <v>1</v>
      </c>
    </row>
    <row r="704" spans="1:19" ht="409.6">
      <c r="A704" s="303">
        <v>699</v>
      </c>
      <c r="B704" s="304">
        <v>923</v>
      </c>
      <c r="C704" s="305" t="s">
        <v>707</v>
      </c>
      <c r="D704" s="306" t="s">
        <v>708</v>
      </c>
      <c r="E704" s="305" t="s">
        <v>862</v>
      </c>
      <c r="F704" s="306" t="s">
        <v>62</v>
      </c>
      <c r="G704" s="306" t="s">
        <v>2870</v>
      </c>
      <c r="H704" s="306" t="s">
        <v>1831</v>
      </c>
      <c r="I704" s="306" t="s">
        <v>2874</v>
      </c>
      <c r="J704" s="304" t="s">
        <v>87</v>
      </c>
      <c r="K704" s="307">
        <v>43466</v>
      </c>
      <c r="L704" s="309">
        <v>43814</v>
      </c>
      <c r="M704" s="306" t="s">
        <v>89</v>
      </c>
      <c r="N704" s="304" t="s">
        <v>96</v>
      </c>
      <c r="O704" s="306" t="s">
        <v>55</v>
      </c>
      <c r="P704" s="304">
        <v>1</v>
      </c>
      <c r="Q704" s="304">
        <v>1</v>
      </c>
      <c r="R704" s="304">
        <v>1</v>
      </c>
      <c r="S704" s="308">
        <v>1</v>
      </c>
    </row>
    <row r="705" spans="1:19" ht="409.6">
      <c r="A705" s="303">
        <v>700</v>
      </c>
      <c r="B705" s="304">
        <v>924</v>
      </c>
      <c r="C705" s="305" t="s">
        <v>707</v>
      </c>
      <c r="D705" s="306" t="s">
        <v>708</v>
      </c>
      <c r="E705" s="305" t="s">
        <v>862</v>
      </c>
      <c r="F705" s="306" t="s">
        <v>62</v>
      </c>
      <c r="G705" s="306" t="s">
        <v>2870</v>
      </c>
      <c r="H705" s="306" t="s">
        <v>2872</v>
      </c>
      <c r="I705" s="306" t="s">
        <v>2875</v>
      </c>
      <c r="J705" s="304" t="s">
        <v>87</v>
      </c>
      <c r="K705" s="307">
        <v>43466</v>
      </c>
      <c r="L705" s="309">
        <v>45641</v>
      </c>
      <c r="M705" s="306" t="s">
        <v>205</v>
      </c>
      <c r="N705" s="304" t="s">
        <v>96</v>
      </c>
      <c r="O705" s="306" t="s">
        <v>51</v>
      </c>
      <c r="P705" s="304">
        <v>1</v>
      </c>
      <c r="Q705" s="304">
        <v>1</v>
      </c>
      <c r="R705" s="304">
        <v>1</v>
      </c>
      <c r="S705" s="308">
        <v>1</v>
      </c>
    </row>
    <row r="706" spans="1:19" ht="328">
      <c r="A706" s="303">
        <v>701</v>
      </c>
      <c r="B706" s="304">
        <v>925</v>
      </c>
      <c r="C706" s="305" t="s">
        <v>707</v>
      </c>
      <c r="D706" s="306" t="s">
        <v>708</v>
      </c>
      <c r="E706" s="305" t="s">
        <v>862</v>
      </c>
      <c r="F706" s="306" t="s">
        <v>62</v>
      </c>
      <c r="G706" s="306" t="s">
        <v>2870</v>
      </c>
      <c r="H706" s="306" t="s">
        <v>1837</v>
      </c>
      <c r="I706" s="306" t="s">
        <v>2876</v>
      </c>
      <c r="J706" s="304" t="s">
        <v>87</v>
      </c>
      <c r="K706" s="307">
        <v>43466</v>
      </c>
      <c r="L706" s="307">
        <v>45627</v>
      </c>
      <c r="M706" s="306" t="s">
        <v>205</v>
      </c>
      <c r="N706" s="304" t="s">
        <v>96</v>
      </c>
      <c r="O706" s="306" t="s">
        <v>51</v>
      </c>
      <c r="P706" s="304">
        <v>1</v>
      </c>
      <c r="Q706" s="304">
        <v>1</v>
      </c>
      <c r="R706" s="304">
        <v>1</v>
      </c>
      <c r="S706" s="308">
        <v>1</v>
      </c>
    </row>
    <row r="707" spans="1:19" ht="409.6">
      <c r="A707" s="303">
        <v>702</v>
      </c>
      <c r="B707" s="304">
        <v>926</v>
      </c>
      <c r="C707" s="305" t="s">
        <v>707</v>
      </c>
      <c r="D707" s="306" t="s">
        <v>708</v>
      </c>
      <c r="E707" s="305" t="s">
        <v>862</v>
      </c>
      <c r="F707" s="306" t="s">
        <v>62</v>
      </c>
      <c r="G707" s="306" t="s">
        <v>2870</v>
      </c>
      <c r="H707" s="306" t="s">
        <v>1839</v>
      </c>
      <c r="I707" s="306" t="s">
        <v>2877</v>
      </c>
      <c r="J707" s="304" t="s">
        <v>87</v>
      </c>
      <c r="K707" s="307">
        <v>43466</v>
      </c>
      <c r="L707" s="307">
        <v>45627</v>
      </c>
      <c r="M707" s="306" t="s">
        <v>439</v>
      </c>
      <c r="N707" s="304" t="s">
        <v>96</v>
      </c>
      <c r="O707" s="306" t="s">
        <v>24</v>
      </c>
      <c r="P707" s="304">
        <v>1</v>
      </c>
      <c r="Q707" s="304">
        <v>1</v>
      </c>
      <c r="R707" s="304">
        <v>1</v>
      </c>
      <c r="S707" s="308">
        <v>1</v>
      </c>
    </row>
    <row r="708" spans="1:19" ht="409.6">
      <c r="A708" s="303">
        <v>703</v>
      </c>
      <c r="B708" s="304">
        <v>927</v>
      </c>
      <c r="C708" s="305" t="s">
        <v>707</v>
      </c>
      <c r="D708" s="306" t="s">
        <v>708</v>
      </c>
      <c r="E708" s="305" t="s">
        <v>862</v>
      </c>
      <c r="F708" s="306" t="s">
        <v>62</v>
      </c>
      <c r="G708" s="306" t="s">
        <v>2870</v>
      </c>
      <c r="H708" s="306" t="s">
        <v>1841</v>
      </c>
      <c r="I708" s="306" t="s">
        <v>2878</v>
      </c>
      <c r="J708" s="304" t="s">
        <v>87</v>
      </c>
      <c r="K708" s="307">
        <v>43466</v>
      </c>
      <c r="L708" s="307">
        <v>45627</v>
      </c>
      <c r="M708" s="306" t="s">
        <v>98</v>
      </c>
      <c r="N708" s="304" t="s">
        <v>96</v>
      </c>
      <c r="O708" s="306" t="s">
        <v>24</v>
      </c>
      <c r="P708" s="304">
        <v>1</v>
      </c>
      <c r="Q708" s="304">
        <v>1</v>
      </c>
      <c r="R708" s="304">
        <v>1</v>
      </c>
      <c r="S708" s="308">
        <v>1</v>
      </c>
    </row>
    <row r="709" spans="1:19" ht="168">
      <c r="A709" s="303">
        <v>704</v>
      </c>
      <c r="B709" s="304">
        <v>928</v>
      </c>
      <c r="C709" s="305" t="s">
        <v>707</v>
      </c>
      <c r="D709" s="306" t="s">
        <v>708</v>
      </c>
      <c r="E709" s="305" t="s">
        <v>862</v>
      </c>
      <c r="F709" s="306" t="s">
        <v>62</v>
      </c>
      <c r="G709" s="306" t="s">
        <v>2870</v>
      </c>
      <c r="H709" s="306" t="s">
        <v>1844</v>
      </c>
      <c r="I709" s="306" t="s">
        <v>2879</v>
      </c>
      <c r="J709" s="304" t="s">
        <v>87</v>
      </c>
      <c r="K709" s="307">
        <v>43466</v>
      </c>
      <c r="L709" s="307">
        <v>43800</v>
      </c>
      <c r="M709" s="306" t="s">
        <v>99</v>
      </c>
      <c r="N709" s="304" t="s">
        <v>90</v>
      </c>
      <c r="O709" s="306" t="s">
        <v>60</v>
      </c>
      <c r="P709" s="304">
        <v>1</v>
      </c>
      <c r="Q709" s="304">
        <v>1</v>
      </c>
      <c r="R709" s="304">
        <v>1</v>
      </c>
      <c r="S709" s="308">
        <v>1</v>
      </c>
    </row>
    <row r="710" spans="1:19" ht="228">
      <c r="A710" s="303">
        <v>705</v>
      </c>
      <c r="B710" s="304">
        <v>929</v>
      </c>
      <c r="C710" s="305" t="s">
        <v>707</v>
      </c>
      <c r="D710" s="306" t="s">
        <v>708</v>
      </c>
      <c r="E710" s="305" t="s">
        <v>862</v>
      </c>
      <c r="F710" s="306" t="s">
        <v>62</v>
      </c>
      <c r="G710" s="306" t="s">
        <v>2870</v>
      </c>
      <c r="H710" s="306" t="s">
        <v>2880</v>
      </c>
      <c r="I710" s="306" t="s">
        <v>2881</v>
      </c>
      <c r="J710" s="304" t="s">
        <v>87</v>
      </c>
      <c r="K710" s="307">
        <v>43466</v>
      </c>
      <c r="L710" s="309">
        <v>45641</v>
      </c>
      <c r="M710" s="306" t="s">
        <v>214</v>
      </c>
      <c r="N710" s="304" t="s">
        <v>96</v>
      </c>
      <c r="O710" s="306" t="s">
        <v>71</v>
      </c>
      <c r="P710" s="304">
        <v>1</v>
      </c>
      <c r="Q710" s="304">
        <v>1</v>
      </c>
      <c r="R710" s="304">
        <v>1</v>
      </c>
      <c r="S710" s="308">
        <v>1</v>
      </c>
    </row>
    <row r="711" spans="1:19" ht="96">
      <c r="A711" s="303">
        <v>706</v>
      </c>
      <c r="B711" s="304">
        <v>930</v>
      </c>
      <c r="C711" s="305" t="s">
        <v>707</v>
      </c>
      <c r="D711" s="306" t="s">
        <v>708</v>
      </c>
      <c r="E711" s="305" t="s">
        <v>862</v>
      </c>
      <c r="F711" s="306" t="s">
        <v>62</v>
      </c>
      <c r="G711" s="306" t="s">
        <v>2870</v>
      </c>
      <c r="H711" s="306" t="s">
        <v>1848</v>
      </c>
      <c r="I711" s="306" t="s">
        <v>2882</v>
      </c>
      <c r="J711" s="304" t="s">
        <v>87</v>
      </c>
      <c r="K711" s="307">
        <v>43466</v>
      </c>
      <c r="L711" s="309">
        <v>45636</v>
      </c>
      <c r="M711" s="306" t="s">
        <v>214</v>
      </c>
      <c r="N711" s="304" t="s">
        <v>96</v>
      </c>
      <c r="O711" s="306" t="s">
        <v>71</v>
      </c>
      <c r="P711" s="304">
        <v>1</v>
      </c>
      <c r="Q711" s="304">
        <v>1</v>
      </c>
      <c r="R711" s="304">
        <v>1</v>
      </c>
      <c r="S711" s="308">
        <v>1</v>
      </c>
    </row>
    <row r="712" spans="1:19" ht="192">
      <c r="A712" s="303">
        <v>707</v>
      </c>
      <c r="B712" s="304">
        <v>931</v>
      </c>
      <c r="C712" s="305" t="s">
        <v>707</v>
      </c>
      <c r="D712" s="306" t="s">
        <v>708</v>
      </c>
      <c r="E712" s="305" t="s">
        <v>862</v>
      </c>
      <c r="F712" s="306" t="s">
        <v>62</v>
      </c>
      <c r="G712" s="306" t="s">
        <v>2870</v>
      </c>
      <c r="H712" s="306" t="s">
        <v>2883</v>
      </c>
      <c r="I712" s="306" t="s">
        <v>2884</v>
      </c>
      <c r="J712" s="304" t="s">
        <v>87</v>
      </c>
      <c r="K712" s="307">
        <v>43466</v>
      </c>
      <c r="L712" s="307">
        <v>45444</v>
      </c>
      <c r="M712" s="306" t="s">
        <v>89</v>
      </c>
      <c r="N712" s="304" t="s">
        <v>90</v>
      </c>
      <c r="O712" s="306" t="s">
        <v>71</v>
      </c>
      <c r="P712" s="304">
        <v>1</v>
      </c>
      <c r="Q712" s="304">
        <v>1</v>
      </c>
      <c r="R712" s="304">
        <v>1</v>
      </c>
      <c r="S712" s="308">
        <v>1</v>
      </c>
    </row>
    <row r="713" spans="1:19" ht="132">
      <c r="A713" s="303">
        <v>708</v>
      </c>
      <c r="B713" s="304">
        <v>932</v>
      </c>
      <c r="C713" s="305" t="s">
        <v>707</v>
      </c>
      <c r="D713" s="306" t="s">
        <v>708</v>
      </c>
      <c r="E713" s="305" t="s">
        <v>862</v>
      </c>
      <c r="F713" s="306" t="s">
        <v>62</v>
      </c>
      <c r="G713" s="306" t="s">
        <v>2870</v>
      </c>
      <c r="H713" s="306" t="s">
        <v>2885</v>
      </c>
      <c r="I713" s="306" t="s">
        <v>2886</v>
      </c>
      <c r="J713" s="304" t="s">
        <v>87</v>
      </c>
      <c r="K713" s="307">
        <v>43466</v>
      </c>
      <c r="L713" s="307">
        <v>45627</v>
      </c>
      <c r="M713" s="306" t="s">
        <v>205</v>
      </c>
      <c r="N713" s="304" t="s">
        <v>96</v>
      </c>
      <c r="O713" s="306" t="s">
        <v>24</v>
      </c>
      <c r="P713" s="304">
        <v>1</v>
      </c>
      <c r="Q713" s="304">
        <v>1</v>
      </c>
      <c r="R713" s="304">
        <v>1</v>
      </c>
      <c r="S713" s="308">
        <v>1</v>
      </c>
    </row>
    <row r="714" spans="1:19" ht="144">
      <c r="A714" s="303">
        <v>709</v>
      </c>
      <c r="B714" s="304">
        <v>933</v>
      </c>
      <c r="C714" s="305" t="s">
        <v>707</v>
      </c>
      <c r="D714" s="306" t="s">
        <v>708</v>
      </c>
      <c r="E714" s="305" t="s">
        <v>862</v>
      </c>
      <c r="F714" s="306" t="s">
        <v>62</v>
      </c>
      <c r="G714" s="306" t="s">
        <v>2870</v>
      </c>
      <c r="H714" s="306" t="s">
        <v>1858</v>
      </c>
      <c r="I714" s="306" t="s">
        <v>2887</v>
      </c>
      <c r="J714" s="304" t="s">
        <v>87</v>
      </c>
      <c r="K714" s="307">
        <v>43466</v>
      </c>
      <c r="L714" s="307">
        <v>44136</v>
      </c>
      <c r="M714" s="306" t="s">
        <v>89</v>
      </c>
      <c r="N714" s="304" t="s">
        <v>96</v>
      </c>
      <c r="O714" s="306" t="s">
        <v>24</v>
      </c>
      <c r="P714" s="304">
        <v>1</v>
      </c>
      <c r="Q714" s="304">
        <v>1</v>
      </c>
      <c r="R714" s="304">
        <v>1</v>
      </c>
      <c r="S714" s="308">
        <v>1</v>
      </c>
    </row>
    <row r="715" spans="1:19" ht="328">
      <c r="A715" s="303">
        <v>710</v>
      </c>
      <c r="B715" s="304">
        <v>934</v>
      </c>
      <c r="C715" s="305" t="s">
        <v>707</v>
      </c>
      <c r="D715" s="306" t="s">
        <v>708</v>
      </c>
      <c r="E715" s="305" t="s">
        <v>862</v>
      </c>
      <c r="F715" s="306" t="s">
        <v>62</v>
      </c>
      <c r="G715" s="306" t="s">
        <v>2870</v>
      </c>
      <c r="H715" s="306" t="s">
        <v>1860</v>
      </c>
      <c r="I715" s="306" t="s">
        <v>2888</v>
      </c>
      <c r="J715" s="304" t="s">
        <v>87</v>
      </c>
      <c r="K715" s="307">
        <v>43466</v>
      </c>
      <c r="L715" s="307">
        <v>45627</v>
      </c>
      <c r="M715" s="306" t="s">
        <v>205</v>
      </c>
      <c r="N715" s="304" t="s">
        <v>90</v>
      </c>
      <c r="O715" s="306" t="s">
        <v>24</v>
      </c>
      <c r="P715" s="304">
        <v>1</v>
      </c>
      <c r="Q715" s="304">
        <v>1</v>
      </c>
      <c r="R715" s="304">
        <v>1</v>
      </c>
      <c r="S715" s="308">
        <v>1</v>
      </c>
    </row>
    <row r="716" spans="1:19" ht="409.6">
      <c r="A716" s="303">
        <v>711</v>
      </c>
      <c r="B716" s="304">
        <v>935</v>
      </c>
      <c r="C716" s="305" t="s">
        <v>707</v>
      </c>
      <c r="D716" s="306" t="s">
        <v>708</v>
      </c>
      <c r="E716" s="305" t="s">
        <v>862</v>
      </c>
      <c r="F716" s="306" t="s">
        <v>62</v>
      </c>
      <c r="G716" s="306" t="s">
        <v>2870</v>
      </c>
      <c r="H716" s="306" t="s">
        <v>2889</v>
      </c>
      <c r="I716" s="306" t="s">
        <v>2890</v>
      </c>
      <c r="J716" s="304" t="s">
        <v>87</v>
      </c>
      <c r="K716" s="307">
        <v>43466</v>
      </c>
      <c r="L716" s="307">
        <v>44256</v>
      </c>
      <c r="M716" s="306" t="s">
        <v>221</v>
      </c>
      <c r="N716" s="304" t="s">
        <v>96</v>
      </c>
      <c r="O716" s="306" t="s">
        <v>24</v>
      </c>
      <c r="P716" s="304">
        <v>1</v>
      </c>
      <c r="Q716" s="304">
        <v>1</v>
      </c>
      <c r="R716" s="304">
        <v>1</v>
      </c>
      <c r="S716" s="308">
        <v>1</v>
      </c>
    </row>
    <row r="717" spans="1:19" ht="409.6">
      <c r="A717" s="303">
        <v>712</v>
      </c>
      <c r="B717" s="304">
        <v>936</v>
      </c>
      <c r="C717" s="305" t="s">
        <v>707</v>
      </c>
      <c r="D717" s="306" t="s">
        <v>708</v>
      </c>
      <c r="E717" s="305" t="s">
        <v>862</v>
      </c>
      <c r="F717" s="306" t="s">
        <v>62</v>
      </c>
      <c r="G717" s="306" t="s">
        <v>2870</v>
      </c>
      <c r="H717" s="306" t="s">
        <v>2891</v>
      </c>
      <c r="I717" s="306" t="s">
        <v>2892</v>
      </c>
      <c r="J717" s="304" t="s">
        <v>87</v>
      </c>
      <c r="K717" s="307">
        <v>43466</v>
      </c>
      <c r="L717" s="309">
        <v>44910</v>
      </c>
      <c r="M717" s="306" t="s">
        <v>205</v>
      </c>
      <c r="N717" s="304" t="s">
        <v>96</v>
      </c>
      <c r="O717" s="306" t="s">
        <v>24</v>
      </c>
      <c r="P717" s="304">
        <v>1</v>
      </c>
      <c r="Q717" s="304">
        <v>1</v>
      </c>
      <c r="R717" s="304">
        <v>1</v>
      </c>
      <c r="S717" s="308">
        <v>1</v>
      </c>
    </row>
    <row r="718" spans="1:19" ht="372">
      <c r="A718" s="303">
        <v>713</v>
      </c>
      <c r="B718" s="304">
        <v>937</v>
      </c>
      <c r="C718" s="305" t="s">
        <v>707</v>
      </c>
      <c r="D718" s="306" t="s">
        <v>708</v>
      </c>
      <c r="E718" s="305" t="s">
        <v>862</v>
      </c>
      <c r="F718" s="306" t="s">
        <v>62</v>
      </c>
      <c r="G718" s="306" t="s">
        <v>2870</v>
      </c>
      <c r="H718" s="306" t="s">
        <v>1868</v>
      </c>
      <c r="I718" s="306" t="s">
        <v>2893</v>
      </c>
      <c r="J718" s="304" t="s">
        <v>87</v>
      </c>
      <c r="K718" s="307">
        <v>43466</v>
      </c>
      <c r="L718" s="309">
        <v>45637</v>
      </c>
      <c r="M718" s="306" t="s">
        <v>89</v>
      </c>
      <c r="N718" s="304" t="s">
        <v>90</v>
      </c>
      <c r="O718" s="306" t="s">
        <v>71</v>
      </c>
      <c r="P718" s="304">
        <v>1</v>
      </c>
      <c r="Q718" s="304">
        <v>1</v>
      </c>
      <c r="R718" s="304">
        <v>1</v>
      </c>
      <c r="S718" s="308">
        <v>1</v>
      </c>
    </row>
    <row r="719" spans="1:19" ht="409.6">
      <c r="A719" s="303">
        <v>714</v>
      </c>
      <c r="B719" s="304">
        <v>938</v>
      </c>
      <c r="C719" s="305" t="s">
        <v>707</v>
      </c>
      <c r="D719" s="306" t="s">
        <v>708</v>
      </c>
      <c r="E719" s="305" t="s">
        <v>862</v>
      </c>
      <c r="F719" s="306" t="s">
        <v>62</v>
      </c>
      <c r="G719" s="306" t="s">
        <v>2870</v>
      </c>
      <c r="H719" s="306" t="s">
        <v>2894</v>
      </c>
      <c r="I719" s="306" t="s">
        <v>2895</v>
      </c>
      <c r="J719" s="304" t="s">
        <v>87</v>
      </c>
      <c r="K719" s="307">
        <v>43466</v>
      </c>
      <c r="L719" s="307">
        <v>45566</v>
      </c>
      <c r="M719" s="306" t="s">
        <v>221</v>
      </c>
      <c r="N719" s="304" t="s">
        <v>96</v>
      </c>
      <c r="O719" s="306" t="s">
        <v>55</v>
      </c>
      <c r="P719" s="304">
        <v>1</v>
      </c>
      <c r="Q719" s="304">
        <v>1</v>
      </c>
      <c r="R719" s="304">
        <v>1</v>
      </c>
      <c r="S719" s="308">
        <v>1</v>
      </c>
    </row>
    <row r="720" spans="1:19" ht="262">
      <c r="A720" s="303">
        <v>715</v>
      </c>
      <c r="B720" s="304">
        <v>939</v>
      </c>
      <c r="C720" s="305" t="s">
        <v>707</v>
      </c>
      <c r="D720" s="306" t="s">
        <v>708</v>
      </c>
      <c r="E720" s="305" t="s">
        <v>862</v>
      </c>
      <c r="F720" s="306" t="s">
        <v>62</v>
      </c>
      <c r="G720" s="306" t="s">
        <v>2870</v>
      </c>
      <c r="H720" s="306" t="s">
        <v>1872</v>
      </c>
      <c r="I720" s="306" t="s">
        <v>2896</v>
      </c>
      <c r="J720" s="304" t="s">
        <v>87</v>
      </c>
      <c r="K720" s="307">
        <v>43466</v>
      </c>
      <c r="L720" s="307">
        <v>43739</v>
      </c>
      <c r="M720" s="306" t="s">
        <v>89</v>
      </c>
      <c r="N720" s="304" t="s">
        <v>90</v>
      </c>
      <c r="O720" s="306" t="s">
        <v>24</v>
      </c>
      <c r="P720" s="304">
        <v>1</v>
      </c>
      <c r="Q720" s="304">
        <v>1</v>
      </c>
      <c r="R720" s="304">
        <v>1</v>
      </c>
      <c r="S720" s="308">
        <v>1</v>
      </c>
    </row>
    <row r="721" spans="1:19" ht="273">
      <c r="A721" s="303">
        <v>716</v>
      </c>
      <c r="B721" s="304">
        <v>940</v>
      </c>
      <c r="C721" s="305" t="s">
        <v>707</v>
      </c>
      <c r="D721" s="306" t="s">
        <v>708</v>
      </c>
      <c r="E721" s="305" t="s">
        <v>862</v>
      </c>
      <c r="F721" s="306" t="s">
        <v>62</v>
      </c>
      <c r="G721" s="306" t="s">
        <v>2870</v>
      </c>
      <c r="H721" s="306" t="s">
        <v>1875</v>
      </c>
      <c r="I721" s="306" t="s">
        <v>2898</v>
      </c>
      <c r="J721" s="304" t="s">
        <v>87</v>
      </c>
      <c r="K721" s="307">
        <v>43466</v>
      </c>
      <c r="L721" s="309">
        <v>45636</v>
      </c>
      <c r="M721" s="306" t="s">
        <v>205</v>
      </c>
      <c r="N721" s="304" t="s">
        <v>96</v>
      </c>
      <c r="O721" s="306" t="s">
        <v>24</v>
      </c>
      <c r="P721" s="304">
        <v>1</v>
      </c>
      <c r="Q721" s="304">
        <v>1</v>
      </c>
      <c r="R721" s="304">
        <v>1</v>
      </c>
      <c r="S721" s="308">
        <v>1</v>
      </c>
    </row>
    <row r="722" spans="1:19" ht="251">
      <c r="A722" s="303">
        <v>717</v>
      </c>
      <c r="B722" s="304">
        <v>941</v>
      </c>
      <c r="C722" s="305" t="s">
        <v>707</v>
      </c>
      <c r="D722" s="306" t="s">
        <v>708</v>
      </c>
      <c r="E722" s="305" t="s">
        <v>862</v>
      </c>
      <c r="F722" s="306" t="s">
        <v>62</v>
      </c>
      <c r="G722" s="306" t="s">
        <v>2870</v>
      </c>
      <c r="H722" s="306" t="s">
        <v>2897</v>
      </c>
      <c r="I722" s="306" t="s">
        <v>2899</v>
      </c>
      <c r="J722" s="304" t="s">
        <v>87</v>
      </c>
      <c r="K722" s="307">
        <v>43466</v>
      </c>
      <c r="L722" s="309">
        <v>45637</v>
      </c>
      <c r="M722" s="306" t="s">
        <v>95</v>
      </c>
      <c r="N722" s="304" t="s">
        <v>96</v>
      </c>
      <c r="O722" s="306" t="s">
        <v>24</v>
      </c>
      <c r="P722" s="304">
        <v>1</v>
      </c>
      <c r="Q722" s="304">
        <v>1</v>
      </c>
      <c r="R722" s="304">
        <v>1</v>
      </c>
      <c r="S722" s="308">
        <v>1</v>
      </c>
    </row>
    <row r="723" spans="1:19" ht="409.6">
      <c r="A723" s="303">
        <v>718</v>
      </c>
      <c r="B723" s="304">
        <v>942</v>
      </c>
      <c r="C723" s="305" t="s">
        <v>707</v>
      </c>
      <c r="D723" s="306" t="s">
        <v>708</v>
      </c>
      <c r="E723" s="305" t="s">
        <v>862</v>
      </c>
      <c r="F723" s="306" t="s">
        <v>62</v>
      </c>
      <c r="G723" s="306" t="s">
        <v>2870</v>
      </c>
      <c r="H723" s="306" t="s">
        <v>2900</v>
      </c>
      <c r="I723" s="306" t="s">
        <v>2901</v>
      </c>
      <c r="J723" s="304" t="s">
        <v>87</v>
      </c>
      <c r="K723" s="307">
        <v>43466</v>
      </c>
      <c r="L723" s="307">
        <v>43490</v>
      </c>
      <c r="M723" s="306" t="s">
        <v>221</v>
      </c>
      <c r="N723" s="304" t="s">
        <v>90</v>
      </c>
      <c r="O723" s="306" t="s">
        <v>71</v>
      </c>
      <c r="P723" s="304">
        <v>1</v>
      </c>
      <c r="Q723" s="304">
        <v>1</v>
      </c>
      <c r="R723" s="304">
        <v>1</v>
      </c>
      <c r="S723" s="308">
        <v>1</v>
      </c>
    </row>
    <row r="724" spans="1:19" ht="228">
      <c r="A724" s="303">
        <v>719</v>
      </c>
      <c r="B724" s="304">
        <v>943</v>
      </c>
      <c r="C724" s="305" t="s">
        <v>707</v>
      </c>
      <c r="D724" s="306" t="s">
        <v>708</v>
      </c>
      <c r="E724" s="305" t="s">
        <v>862</v>
      </c>
      <c r="F724" s="306" t="s">
        <v>62</v>
      </c>
      <c r="G724" s="306" t="s">
        <v>2870</v>
      </c>
      <c r="H724" s="306" t="s">
        <v>2903</v>
      </c>
      <c r="I724" s="306" t="s">
        <v>2904</v>
      </c>
      <c r="J724" s="304" t="s">
        <v>87</v>
      </c>
      <c r="K724" s="307">
        <v>43466</v>
      </c>
      <c r="L724" s="309">
        <v>45636</v>
      </c>
      <c r="M724" s="306" t="s">
        <v>89</v>
      </c>
      <c r="N724" s="304" t="s">
        <v>90</v>
      </c>
      <c r="O724" s="306" t="s">
        <v>71</v>
      </c>
      <c r="P724" s="304">
        <v>1</v>
      </c>
      <c r="Q724" s="304">
        <v>1</v>
      </c>
      <c r="R724" s="304">
        <v>1</v>
      </c>
      <c r="S724" s="308">
        <v>1</v>
      </c>
    </row>
    <row r="725" spans="1:19" ht="273">
      <c r="A725" s="303">
        <v>720</v>
      </c>
      <c r="B725" s="304">
        <v>944</v>
      </c>
      <c r="C725" s="305" t="s">
        <v>707</v>
      </c>
      <c r="D725" s="306" t="s">
        <v>708</v>
      </c>
      <c r="E725" s="305" t="s">
        <v>862</v>
      </c>
      <c r="F725" s="306" t="s">
        <v>62</v>
      </c>
      <c r="G725" s="306" t="s">
        <v>2870</v>
      </c>
      <c r="H725" s="306" t="s">
        <v>2905</v>
      </c>
      <c r="I725" s="306" t="s">
        <v>2906</v>
      </c>
      <c r="J725" s="304" t="s">
        <v>87</v>
      </c>
      <c r="K725" s="307">
        <v>43466</v>
      </c>
      <c r="L725" s="307">
        <v>45474</v>
      </c>
      <c r="M725" s="306" t="s">
        <v>89</v>
      </c>
      <c r="N725" s="304" t="s">
        <v>90</v>
      </c>
      <c r="O725" s="306" t="s">
        <v>46</v>
      </c>
      <c r="P725" s="304">
        <v>1</v>
      </c>
      <c r="Q725" s="304">
        <v>1</v>
      </c>
      <c r="R725" s="304">
        <v>1</v>
      </c>
      <c r="S725" s="308">
        <v>1</v>
      </c>
    </row>
    <row r="726" spans="1:19" ht="317">
      <c r="A726" s="303">
        <v>721</v>
      </c>
      <c r="B726" s="304">
        <v>945</v>
      </c>
      <c r="C726" s="305" t="s">
        <v>707</v>
      </c>
      <c r="D726" s="306" t="s">
        <v>708</v>
      </c>
      <c r="E726" s="305" t="s">
        <v>862</v>
      </c>
      <c r="F726" s="306" t="s">
        <v>62</v>
      </c>
      <c r="G726" s="306" t="s">
        <v>2870</v>
      </c>
      <c r="H726" s="306" t="s">
        <v>2907</v>
      </c>
      <c r="I726" s="306" t="s">
        <v>2908</v>
      </c>
      <c r="J726" s="304" t="s">
        <v>87</v>
      </c>
      <c r="K726" s="307">
        <v>43466</v>
      </c>
      <c r="L726" s="309">
        <v>45636</v>
      </c>
      <c r="M726" s="306" t="s">
        <v>211</v>
      </c>
      <c r="N726" s="304" t="s">
        <v>96</v>
      </c>
      <c r="O726" s="306" t="s">
        <v>46</v>
      </c>
      <c r="P726" s="304">
        <v>1</v>
      </c>
      <c r="Q726" s="304">
        <v>1</v>
      </c>
      <c r="R726" s="304">
        <v>1</v>
      </c>
      <c r="S726" s="308">
        <v>1</v>
      </c>
    </row>
    <row r="727" spans="1:19" ht="295">
      <c r="A727" s="303">
        <v>722</v>
      </c>
      <c r="B727" s="304">
        <v>946</v>
      </c>
      <c r="C727" s="305" t="s">
        <v>707</v>
      </c>
      <c r="D727" s="306" t="s">
        <v>708</v>
      </c>
      <c r="E727" s="305" t="s">
        <v>862</v>
      </c>
      <c r="F727" s="306" t="s">
        <v>62</v>
      </c>
      <c r="G727" s="306" t="s">
        <v>2870</v>
      </c>
      <c r="H727" s="306" t="s">
        <v>2902</v>
      </c>
      <c r="I727" s="306" t="s">
        <v>2909</v>
      </c>
      <c r="J727" s="304" t="s">
        <v>87</v>
      </c>
      <c r="K727" s="307">
        <v>43466</v>
      </c>
      <c r="L727" s="309">
        <v>45636</v>
      </c>
      <c r="M727" s="306" t="s">
        <v>211</v>
      </c>
      <c r="N727" s="304" t="s">
        <v>96</v>
      </c>
      <c r="O727" s="306" t="s">
        <v>46</v>
      </c>
      <c r="P727" s="304">
        <v>1</v>
      </c>
      <c r="Q727" s="304">
        <v>1</v>
      </c>
      <c r="R727" s="304">
        <v>1</v>
      </c>
      <c r="S727" s="308">
        <v>1</v>
      </c>
    </row>
    <row r="728" spans="1:19" ht="60">
      <c r="A728" s="303">
        <v>723</v>
      </c>
      <c r="B728" s="304">
        <v>947</v>
      </c>
      <c r="C728" s="305" t="s">
        <v>707</v>
      </c>
      <c r="D728" s="306" t="s">
        <v>708</v>
      </c>
      <c r="E728" s="305" t="s">
        <v>862</v>
      </c>
      <c r="F728" s="306" t="s">
        <v>62</v>
      </c>
      <c r="G728" s="306" t="s">
        <v>2870</v>
      </c>
      <c r="H728" s="306" t="s">
        <v>1890</v>
      </c>
      <c r="I728" s="306"/>
      <c r="J728" s="304" t="s">
        <v>87</v>
      </c>
      <c r="K728" s="307">
        <v>43466</v>
      </c>
      <c r="L728" s="309">
        <v>45641</v>
      </c>
      <c r="M728" s="306" t="s">
        <v>205</v>
      </c>
      <c r="N728" s="304" t="s">
        <v>90</v>
      </c>
      <c r="O728" s="306" t="s">
        <v>71</v>
      </c>
      <c r="P728" s="304">
        <v>1</v>
      </c>
      <c r="Q728" s="304">
        <v>1</v>
      </c>
      <c r="R728" s="304">
        <v>1</v>
      </c>
      <c r="S728" s="308">
        <v>1</v>
      </c>
    </row>
    <row r="729" spans="1:19" ht="96">
      <c r="A729" s="303">
        <v>724</v>
      </c>
      <c r="B729" s="304">
        <v>948</v>
      </c>
      <c r="C729" s="305" t="s">
        <v>707</v>
      </c>
      <c r="D729" s="306" t="s">
        <v>708</v>
      </c>
      <c r="E729" s="305" t="s">
        <v>862</v>
      </c>
      <c r="F729" s="306" t="s">
        <v>62</v>
      </c>
      <c r="G729" s="306" t="s">
        <v>2870</v>
      </c>
      <c r="H729" s="306" t="s">
        <v>1893</v>
      </c>
      <c r="I729" s="306"/>
      <c r="J729" s="304" t="s">
        <v>87</v>
      </c>
      <c r="K729" s="307">
        <v>43466</v>
      </c>
      <c r="L729" s="307">
        <v>43920</v>
      </c>
      <c r="M729" s="306" t="s">
        <v>89</v>
      </c>
      <c r="N729" s="304" t="s">
        <v>90</v>
      </c>
      <c r="O729" s="306" t="s">
        <v>24</v>
      </c>
      <c r="P729" s="304">
        <v>1</v>
      </c>
      <c r="Q729" s="304">
        <v>1</v>
      </c>
      <c r="R729" s="304">
        <v>1</v>
      </c>
      <c r="S729" s="308">
        <v>1</v>
      </c>
    </row>
    <row r="730" spans="1:19" ht="409.6">
      <c r="A730" s="303">
        <v>725</v>
      </c>
      <c r="B730" s="304">
        <v>949</v>
      </c>
      <c r="C730" s="305" t="s">
        <v>707</v>
      </c>
      <c r="D730" s="306" t="s">
        <v>708</v>
      </c>
      <c r="E730" s="305" t="s">
        <v>864</v>
      </c>
      <c r="F730" s="306" t="s">
        <v>82</v>
      </c>
      <c r="G730" s="306" t="s">
        <v>2910</v>
      </c>
      <c r="H730" s="306" t="s">
        <v>1951</v>
      </c>
      <c r="I730" s="306" t="s">
        <v>2911</v>
      </c>
      <c r="J730" s="304" t="s">
        <v>87</v>
      </c>
      <c r="K730" s="307">
        <v>43466</v>
      </c>
      <c r="L730" s="307">
        <v>44166</v>
      </c>
      <c r="M730" s="306" t="s">
        <v>221</v>
      </c>
      <c r="N730" s="304" t="s">
        <v>90</v>
      </c>
      <c r="O730" s="306" t="s">
        <v>71</v>
      </c>
      <c r="P730" s="304">
        <v>1</v>
      </c>
      <c r="Q730" s="304">
        <v>1</v>
      </c>
      <c r="R730" s="304">
        <v>1</v>
      </c>
      <c r="S730" s="308">
        <v>1</v>
      </c>
    </row>
    <row r="731" spans="1:19" ht="204">
      <c r="A731" s="303">
        <v>726</v>
      </c>
      <c r="B731" s="304">
        <v>950</v>
      </c>
      <c r="C731" s="305" t="s">
        <v>707</v>
      </c>
      <c r="D731" s="306" t="s">
        <v>708</v>
      </c>
      <c r="E731" s="305" t="s">
        <v>864</v>
      </c>
      <c r="F731" s="306" t="s">
        <v>82</v>
      </c>
      <c r="G731" s="306" t="s">
        <v>2910</v>
      </c>
      <c r="H731" s="306" t="s">
        <v>1956</v>
      </c>
      <c r="I731" s="306" t="s">
        <v>2912</v>
      </c>
      <c r="J731" s="304" t="s">
        <v>87</v>
      </c>
      <c r="K731" s="307">
        <v>43466</v>
      </c>
      <c r="L731" s="307">
        <v>44197</v>
      </c>
      <c r="M731" s="306" t="s">
        <v>205</v>
      </c>
      <c r="N731" s="304" t="s">
        <v>90</v>
      </c>
      <c r="O731" s="306" t="s">
        <v>71</v>
      </c>
      <c r="P731" s="304">
        <v>1</v>
      </c>
      <c r="Q731" s="304">
        <v>1</v>
      </c>
      <c r="R731" s="304">
        <v>1</v>
      </c>
      <c r="S731" s="308">
        <v>1</v>
      </c>
    </row>
    <row r="732" spans="1:19" ht="405">
      <c r="A732" s="303">
        <v>727</v>
      </c>
      <c r="B732" s="304">
        <v>951</v>
      </c>
      <c r="C732" s="305" t="s">
        <v>707</v>
      </c>
      <c r="D732" s="306" t="s">
        <v>708</v>
      </c>
      <c r="E732" s="305" t="s">
        <v>864</v>
      </c>
      <c r="F732" s="306" t="s">
        <v>82</v>
      </c>
      <c r="G732" s="306" t="s">
        <v>2910</v>
      </c>
      <c r="H732" s="306" t="s">
        <v>1958</v>
      </c>
      <c r="I732" s="306" t="s">
        <v>2913</v>
      </c>
      <c r="J732" s="304" t="s">
        <v>87</v>
      </c>
      <c r="K732" s="307">
        <v>43466</v>
      </c>
      <c r="L732" s="309">
        <v>44180</v>
      </c>
      <c r="M732" s="306" t="s">
        <v>221</v>
      </c>
      <c r="N732" s="304" t="s">
        <v>90</v>
      </c>
      <c r="O732" s="306" t="s">
        <v>71</v>
      </c>
      <c r="P732" s="304">
        <v>1</v>
      </c>
      <c r="Q732" s="304">
        <v>1</v>
      </c>
      <c r="R732" s="304">
        <v>1</v>
      </c>
      <c r="S732" s="308">
        <v>1</v>
      </c>
    </row>
    <row r="733" spans="1:19" ht="204">
      <c r="A733" s="303">
        <v>728</v>
      </c>
      <c r="B733" s="304">
        <v>952</v>
      </c>
      <c r="C733" s="305" t="s">
        <v>707</v>
      </c>
      <c r="D733" s="306" t="s">
        <v>708</v>
      </c>
      <c r="E733" s="305" t="s">
        <v>864</v>
      </c>
      <c r="F733" s="306" t="s">
        <v>82</v>
      </c>
      <c r="G733" s="306" t="s">
        <v>2910</v>
      </c>
      <c r="H733" s="306" t="s">
        <v>1960</v>
      </c>
      <c r="I733" s="306" t="s">
        <v>2914</v>
      </c>
      <c r="J733" s="304" t="s">
        <v>87</v>
      </c>
      <c r="K733" s="307">
        <v>43466</v>
      </c>
      <c r="L733" s="309">
        <v>44180</v>
      </c>
      <c r="M733" s="306" t="s">
        <v>221</v>
      </c>
      <c r="N733" s="304" t="s">
        <v>90</v>
      </c>
      <c r="O733" s="306" t="s">
        <v>71</v>
      </c>
      <c r="P733" s="304">
        <v>1</v>
      </c>
      <c r="Q733" s="304">
        <v>1</v>
      </c>
      <c r="R733" s="304">
        <v>1</v>
      </c>
      <c r="S733" s="308">
        <v>1</v>
      </c>
    </row>
    <row r="734" spans="1:19" ht="96">
      <c r="A734" s="303">
        <v>729</v>
      </c>
      <c r="B734" s="304">
        <v>953</v>
      </c>
      <c r="C734" s="305" t="s">
        <v>707</v>
      </c>
      <c r="D734" s="306" t="s">
        <v>708</v>
      </c>
      <c r="E734" s="305" t="s">
        <v>864</v>
      </c>
      <c r="F734" s="306" t="s">
        <v>82</v>
      </c>
      <c r="G734" s="306" t="s">
        <v>2910</v>
      </c>
      <c r="H734" s="306" t="s">
        <v>1962</v>
      </c>
      <c r="I734" s="306" t="s">
        <v>2915</v>
      </c>
      <c r="J734" s="304" t="s">
        <v>87</v>
      </c>
      <c r="K734" s="307">
        <v>43466</v>
      </c>
      <c r="L734" s="309">
        <v>44180</v>
      </c>
      <c r="M734" s="306" t="s">
        <v>205</v>
      </c>
      <c r="N734" s="304" t="s">
        <v>90</v>
      </c>
      <c r="O734" s="306" t="s">
        <v>71</v>
      </c>
      <c r="P734" s="304">
        <v>1</v>
      </c>
      <c r="Q734" s="304">
        <v>1</v>
      </c>
      <c r="R734" s="304">
        <v>1</v>
      </c>
      <c r="S734" s="308">
        <v>1</v>
      </c>
    </row>
    <row r="735" spans="1:19" ht="84">
      <c r="A735" s="303">
        <v>730</v>
      </c>
      <c r="B735" s="304">
        <v>954</v>
      </c>
      <c r="C735" s="305" t="s">
        <v>707</v>
      </c>
      <c r="D735" s="306" t="s">
        <v>708</v>
      </c>
      <c r="E735" s="305" t="s">
        <v>864</v>
      </c>
      <c r="F735" s="306" t="s">
        <v>82</v>
      </c>
      <c r="G735" s="306" t="s">
        <v>2910</v>
      </c>
      <c r="H735" s="306" t="s">
        <v>1967</v>
      </c>
      <c r="I735" s="306" t="s">
        <v>2916</v>
      </c>
      <c r="J735" s="304" t="s">
        <v>87</v>
      </c>
      <c r="K735" s="307">
        <v>43466</v>
      </c>
      <c r="L735" s="309">
        <v>44180</v>
      </c>
      <c r="M735" s="306" t="s">
        <v>89</v>
      </c>
      <c r="N735" s="304" t="s">
        <v>90</v>
      </c>
      <c r="O735" s="306" t="s">
        <v>71</v>
      </c>
      <c r="P735" s="304">
        <v>1</v>
      </c>
      <c r="Q735" s="304">
        <v>1</v>
      </c>
      <c r="R735" s="304">
        <v>1</v>
      </c>
      <c r="S735" s="308">
        <v>1</v>
      </c>
    </row>
    <row r="736" spans="1:19" ht="180">
      <c r="A736" s="303">
        <v>731</v>
      </c>
      <c r="B736" s="304">
        <v>955</v>
      </c>
      <c r="C736" s="305" t="s">
        <v>707</v>
      </c>
      <c r="D736" s="306" t="s">
        <v>708</v>
      </c>
      <c r="E736" s="305" t="s">
        <v>864</v>
      </c>
      <c r="F736" s="306" t="s">
        <v>82</v>
      </c>
      <c r="G736" s="306" t="s">
        <v>2910</v>
      </c>
      <c r="H736" s="306" t="s">
        <v>1969</v>
      </c>
      <c r="I736" s="306" t="s">
        <v>2917</v>
      </c>
      <c r="J736" s="304" t="s">
        <v>87</v>
      </c>
      <c r="K736" s="307">
        <v>43466</v>
      </c>
      <c r="L736" s="309">
        <v>45641</v>
      </c>
      <c r="M736" s="306" t="s">
        <v>205</v>
      </c>
      <c r="N736" s="304" t="s">
        <v>96</v>
      </c>
      <c r="O736" s="306" t="s">
        <v>71</v>
      </c>
      <c r="P736" s="304">
        <v>1</v>
      </c>
      <c r="Q736" s="304">
        <v>1</v>
      </c>
      <c r="R736" s="304">
        <v>1</v>
      </c>
      <c r="S736" s="308">
        <v>1</v>
      </c>
    </row>
    <row r="737" spans="1:19" ht="339">
      <c r="A737" s="303">
        <v>732</v>
      </c>
      <c r="B737" s="304">
        <v>956</v>
      </c>
      <c r="C737" s="305" t="s">
        <v>707</v>
      </c>
      <c r="D737" s="306" t="s">
        <v>708</v>
      </c>
      <c r="E737" s="305" t="s">
        <v>864</v>
      </c>
      <c r="F737" s="306" t="s">
        <v>82</v>
      </c>
      <c r="G737" s="306" t="s">
        <v>2910</v>
      </c>
      <c r="H737" s="306" t="s">
        <v>1973</v>
      </c>
      <c r="I737" s="306" t="s">
        <v>2918</v>
      </c>
      <c r="J737" s="304" t="s">
        <v>87</v>
      </c>
      <c r="K737" s="307">
        <v>43466</v>
      </c>
      <c r="L737" s="309">
        <v>44180</v>
      </c>
      <c r="M737" s="306" t="s">
        <v>99</v>
      </c>
      <c r="N737" s="304" t="s">
        <v>96</v>
      </c>
      <c r="O737" s="306" t="s">
        <v>71</v>
      </c>
      <c r="P737" s="304">
        <v>1</v>
      </c>
      <c r="Q737" s="304">
        <v>1</v>
      </c>
      <c r="R737" s="304">
        <v>1</v>
      </c>
      <c r="S737" s="308">
        <v>1</v>
      </c>
    </row>
    <row r="738" spans="1:19" ht="251">
      <c r="A738" s="303">
        <v>733</v>
      </c>
      <c r="B738" s="304">
        <v>957</v>
      </c>
      <c r="C738" s="305" t="s">
        <v>707</v>
      </c>
      <c r="D738" s="306" t="s">
        <v>708</v>
      </c>
      <c r="E738" s="305" t="s">
        <v>864</v>
      </c>
      <c r="F738" s="306" t="s">
        <v>82</v>
      </c>
      <c r="G738" s="306" t="s">
        <v>2910</v>
      </c>
      <c r="H738" s="306" t="s">
        <v>1977</v>
      </c>
      <c r="I738" s="306" t="s">
        <v>2919</v>
      </c>
      <c r="J738" s="304" t="s">
        <v>87</v>
      </c>
      <c r="K738" s="307">
        <v>43466</v>
      </c>
      <c r="L738" s="309">
        <v>43814</v>
      </c>
      <c r="M738" s="306" t="s">
        <v>98</v>
      </c>
      <c r="N738" s="304" t="s">
        <v>96</v>
      </c>
      <c r="O738" s="306" t="s">
        <v>71</v>
      </c>
      <c r="P738" s="304">
        <v>1</v>
      </c>
      <c r="Q738" s="304">
        <v>1</v>
      </c>
      <c r="R738" s="304">
        <v>1</v>
      </c>
      <c r="S738" s="308">
        <v>1</v>
      </c>
    </row>
    <row r="739" spans="1:19" ht="132">
      <c r="A739" s="303">
        <v>734</v>
      </c>
      <c r="B739" s="304">
        <v>958</v>
      </c>
      <c r="C739" s="305" t="s">
        <v>707</v>
      </c>
      <c r="D739" s="306" t="s">
        <v>708</v>
      </c>
      <c r="E739" s="305" t="s">
        <v>864</v>
      </c>
      <c r="F739" s="306" t="s">
        <v>82</v>
      </c>
      <c r="G739" s="306" t="s">
        <v>2910</v>
      </c>
      <c r="H739" s="306" t="s">
        <v>1981</v>
      </c>
      <c r="I739" s="306" t="s">
        <v>2920</v>
      </c>
      <c r="J739" s="304" t="s">
        <v>87</v>
      </c>
      <c r="K739" s="307">
        <v>43466</v>
      </c>
      <c r="L739" s="309">
        <v>45641</v>
      </c>
      <c r="M739" s="306" t="s">
        <v>89</v>
      </c>
      <c r="N739" s="304" t="s">
        <v>90</v>
      </c>
      <c r="O739" s="306" t="s">
        <v>71</v>
      </c>
      <c r="P739" s="304">
        <v>1</v>
      </c>
      <c r="Q739" s="304">
        <v>1</v>
      </c>
      <c r="R739" s="304">
        <v>1</v>
      </c>
      <c r="S739" s="308">
        <v>1</v>
      </c>
    </row>
    <row r="740" spans="1:19" ht="168">
      <c r="A740" s="303">
        <v>735</v>
      </c>
      <c r="B740" s="304">
        <v>959</v>
      </c>
      <c r="C740" s="305" t="s">
        <v>707</v>
      </c>
      <c r="D740" s="306" t="s">
        <v>708</v>
      </c>
      <c r="E740" s="305" t="s">
        <v>864</v>
      </c>
      <c r="F740" s="306" t="s">
        <v>82</v>
      </c>
      <c r="G740" s="306" t="s">
        <v>2910</v>
      </c>
      <c r="H740" s="306" t="s">
        <v>1983</v>
      </c>
      <c r="I740" s="306" t="s">
        <v>1984</v>
      </c>
      <c r="J740" s="304" t="s">
        <v>87</v>
      </c>
      <c r="K740" s="307">
        <v>43466</v>
      </c>
      <c r="L740" s="309">
        <v>45641</v>
      </c>
      <c r="M740" s="306" t="s">
        <v>205</v>
      </c>
      <c r="N740" s="304" t="s">
        <v>96</v>
      </c>
      <c r="O740" s="306" t="s">
        <v>71</v>
      </c>
      <c r="P740" s="304">
        <v>1</v>
      </c>
      <c r="Q740" s="304">
        <v>1</v>
      </c>
      <c r="R740" s="304">
        <v>1</v>
      </c>
      <c r="S740" s="308">
        <v>1</v>
      </c>
    </row>
    <row r="741" spans="1:19" ht="240">
      <c r="A741" s="303">
        <v>736</v>
      </c>
      <c r="B741" s="304">
        <v>960</v>
      </c>
      <c r="C741" s="305" t="s">
        <v>707</v>
      </c>
      <c r="D741" s="306" t="s">
        <v>708</v>
      </c>
      <c r="E741" s="305" t="s">
        <v>864</v>
      </c>
      <c r="F741" s="306" t="s">
        <v>82</v>
      </c>
      <c r="G741" s="306" t="s">
        <v>2910</v>
      </c>
      <c r="H741" s="306" t="s">
        <v>1985</v>
      </c>
      <c r="I741" s="306" t="s">
        <v>2921</v>
      </c>
      <c r="J741" s="304" t="s">
        <v>87</v>
      </c>
      <c r="K741" s="307">
        <v>43466</v>
      </c>
      <c r="L741" s="309">
        <v>45641</v>
      </c>
      <c r="M741" s="306" t="s">
        <v>205</v>
      </c>
      <c r="N741" s="304" t="s">
        <v>96</v>
      </c>
      <c r="O741" s="306" t="s">
        <v>71</v>
      </c>
      <c r="P741" s="304">
        <v>1</v>
      </c>
      <c r="Q741" s="304">
        <v>1</v>
      </c>
      <c r="R741" s="304">
        <v>1</v>
      </c>
      <c r="S741" s="308">
        <v>1</v>
      </c>
    </row>
    <row r="742" spans="1:19" ht="192">
      <c r="A742" s="303">
        <v>737</v>
      </c>
      <c r="B742" s="304">
        <v>961</v>
      </c>
      <c r="C742" s="305" t="s">
        <v>707</v>
      </c>
      <c r="D742" s="306" t="s">
        <v>708</v>
      </c>
      <c r="E742" s="305" t="s">
        <v>864</v>
      </c>
      <c r="F742" s="306" t="s">
        <v>82</v>
      </c>
      <c r="G742" s="306" t="s">
        <v>2910</v>
      </c>
      <c r="H742" s="306" t="s">
        <v>1987</v>
      </c>
      <c r="I742" s="306" t="s">
        <v>2922</v>
      </c>
      <c r="J742" s="304" t="s">
        <v>87</v>
      </c>
      <c r="K742" s="307">
        <v>43466</v>
      </c>
      <c r="L742" s="307">
        <v>45565</v>
      </c>
      <c r="M742" s="306" t="s">
        <v>89</v>
      </c>
      <c r="N742" s="304" t="s">
        <v>90</v>
      </c>
      <c r="O742" s="306" t="s">
        <v>71</v>
      </c>
      <c r="P742" s="304">
        <v>1</v>
      </c>
      <c r="Q742" s="304">
        <v>1</v>
      </c>
      <c r="R742" s="304">
        <v>1</v>
      </c>
      <c r="S742" s="308">
        <v>1</v>
      </c>
    </row>
    <row r="743" spans="1:19" ht="409.6">
      <c r="A743" s="303">
        <v>738</v>
      </c>
      <c r="B743" s="304">
        <v>962</v>
      </c>
      <c r="C743" s="305" t="s">
        <v>707</v>
      </c>
      <c r="D743" s="306" t="s">
        <v>708</v>
      </c>
      <c r="E743" s="305" t="s">
        <v>864</v>
      </c>
      <c r="F743" s="306" t="s">
        <v>82</v>
      </c>
      <c r="G743" s="306" t="s">
        <v>2910</v>
      </c>
      <c r="H743" s="306" t="s">
        <v>1989</v>
      </c>
      <c r="I743" s="306" t="s">
        <v>2923</v>
      </c>
      <c r="J743" s="304" t="s">
        <v>87</v>
      </c>
      <c r="K743" s="307">
        <v>43466</v>
      </c>
      <c r="L743" s="309">
        <v>45641</v>
      </c>
      <c r="M743" s="306" t="s">
        <v>221</v>
      </c>
      <c r="N743" s="304" t="s">
        <v>90</v>
      </c>
      <c r="O743" s="306" t="s">
        <v>71</v>
      </c>
      <c r="P743" s="304">
        <v>1</v>
      </c>
      <c r="Q743" s="304">
        <v>1</v>
      </c>
      <c r="R743" s="304">
        <v>1</v>
      </c>
      <c r="S743" s="308">
        <v>1</v>
      </c>
    </row>
    <row r="744" spans="1:19" ht="409.6">
      <c r="A744" s="303">
        <v>739</v>
      </c>
      <c r="B744" s="304">
        <v>963</v>
      </c>
      <c r="C744" s="305" t="s">
        <v>707</v>
      </c>
      <c r="D744" s="306" t="s">
        <v>708</v>
      </c>
      <c r="E744" s="305" t="s">
        <v>864</v>
      </c>
      <c r="F744" s="306" t="s">
        <v>82</v>
      </c>
      <c r="G744" s="306" t="s">
        <v>2910</v>
      </c>
      <c r="H744" s="306" t="s">
        <v>1995</v>
      </c>
      <c r="I744" s="306" t="s">
        <v>2924</v>
      </c>
      <c r="J744" s="304" t="s">
        <v>87</v>
      </c>
      <c r="K744" s="307">
        <v>43466</v>
      </c>
      <c r="L744" s="309">
        <v>45657</v>
      </c>
      <c r="M744" s="306" t="s">
        <v>214</v>
      </c>
      <c r="N744" s="304" t="s">
        <v>96</v>
      </c>
      <c r="O744" s="306" t="s">
        <v>71</v>
      </c>
      <c r="P744" s="304">
        <v>1</v>
      </c>
      <c r="Q744" s="304">
        <v>1</v>
      </c>
      <c r="R744" s="304">
        <v>1</v>
      </c>
      <c r="S744" s="308">
        <v>1</v>
      </c>
    </row>
    <row r="745" spans="1:19" ht="72">
      <c r="A745" s="303">
        <v>740</v>
      </c>
      <c r="B745" s="304">
        <v>964</v>
      </c>
      <c r="C745" s="305" t="s">
        <v>707</v>
      </c>
      <c r="D745" s="306" t="s">
        <v>708</v>
      </c>
      <c r="E745" s="305" t="s">
        <v>864</v>
      </c>
      <c r="F745" s="306" t="s">
        <v>82</v>
      </c>
      <c r="G745" s="306" t="s">
        <v>2910</v>
      </c>
      <c r="H745" s="306" t="s">
        <v>1999</v>
      </c>
      <c r="I745" s="306" t="s">
        <v>2925</v>
      </c>
      <c r="J745" s="304" t="s">
        <v>87</v>
      </c>
      <c r="K745" s="307">
        <v>43466</v>
      </c>
      <c r="L745" s="309">
        <v>43830</v>
      </c>
      <c r="M745" s="306" t="s">
        <v>214</v>
      </c>
      <c r="N745" s="304" t="s">
        <v>96</v>
      </c>
      <c r="O745" s="306" t="s">
        <v>71</v>
      </c>
      <c r="P745" s="304">
        <v>1</v>
      </c>
      <c r="Q745" s="304">
        <v>1</v>
      </c>
      <c r="R745" s="304">
        <v>1</v>
      </c>
      <c r="S745" s="308">
        <v>1</v>
      </c>
    </row>
    <row r="746" spans="1:19" ht="72">
      <c r="A746" s="303">
        <v>741</v>
      </c>
      <c r="B746" s="304">
        <v>965</v>
      </c>
      <c r="C746" s="305" t="s">
        <v>707</v>
      </c>
      <c r="D746" s="306" t="s">
        <v>708</v>
      </c>
      <c r="E746" s="305" t="s">
        <v>864</v>
      </c>
      <c r="F746" s="306" t="s">
        <v>82</v>
      </c>
      <c r="G746" s="306" t="s">
        <v>2910</v>
      </c>
      <c r="H746" s="306" t="s">
        <v>2003</v>
      </c>
      <c r="I746" s="306" t="s">
        <v>2926</v>
      </c>
      <c r="J746" s="304" t="s">
        <v>87</v>
      </c>
      <c r="K746" s="307">
        <v>43466</v>
      </c>
      <c r="L746" s="309">
        <v>44561</v>
      </c>
      <c r="M746" s="306" t="s">
        <v>205</v>
      </c>
      <c r="N746" s="304" t="s">
        <v>90</v>
      </c>
      <c r="O746" s="306" t="s">
        <v>71</v>
      </c>
      <c r="P746" s="304">
        <v>1</v>
      </c>
      <c r="Q746" s="304">
        <v>1</v>
      </c>
      <c r="R746" s="304">
        <v>1</v>
      </c>
      <c r="S746" s="308">
        <v>1</v>
      </c>
    </row>
    <row r="747" spans="1:19" ht="251">
      <c r="A747" s="303">
        <v>742</v>
      </c>
      <c r="B747" s="304">
        <v>966</v>
      </c>
      <c r="C747" s="305" t="s">
        <v>707</v>
      </c>
      <c r="D747" s="306" t="s">
        <v>708</v>
      </c>
      <c r="E747" s="305" t="s">
        <v>864</v>
      </c>
      <c r="F747" s="306" t="s">
        <v>82</v>
      </c>
      <c r="G747" s="306" t="s">
        <v>2910</v>
      </c>
      <c r="H747" s="306" t="s">
        <v>2007</v>
      </c>
      <c r="I747" s="306" t="s">
        <v>2927</v>
      </c>
      <c r="J747" s="304" t="s">
        <v>87</v>
      </c>
      <c r="K747" s="307">
        <v>43466</v>
      </c>
      <c r="L747" s="309">
        <v>44180</v>
      </c>
      <c r="M747" s="306" t="s">
        <v>209</v>
      </c>
      <c r="N747" s="304" t="s">
        <v>90</v>
      </c>
      <c r="O747" s="306" t="s">
        <v>71</v>
      </c>
      <c r="P747" s="304">
        <v>1</v>
      </c>
      <c r="Q747" s="304">
        <v>1</v>
      </c>
      <c r="R747" s="304">
        <v>1</v>
      </c>
      <c r="S747" s="308">
        <v>1</v>
      </c>
    </row>
    <row r="748" spans="1:19" ht="228">
      <c r="A748" s="303">
        <v>743</v>
      </c>
      <c r="B748" s="304">
        <v>967</v>
      </c>
      <c r="C748" s="305" t="s">
        <v>707</v>
      </c>
      <c r="D748" s="306" t="s">
        <v>708</v>
      </c>
      <c r="E748" s="305" t="s">
        <v>864</v>
      </c>
      <c r="F748" s="306" t="s">
        <v>82</v>
      </c>
      <c r="G748" s="306" t="s">
        <v>2910</v>
      </c>
      <c r="H748" s="306" t="s">
        <v>2013</v>
      </c>
      <c r="I748" s="306" t="s">
        <v>2928</v>
      </c>
      <c r="J748" s="304" t="s">
        <v>87</v>
      </c>
      <c r="K748" s="307">
        <v>43466</v>
      </c>
      <c r="L748" s="309">
        <v>44910</v>
      </c>
      <c r="M748" s="306" t="s">
        <v>214</v>
      </c>
      <c r="N748" s="304" t="s">
        <v>96</v>
      </c>
      <c r="O748" s="306" t="s">
        <v>71</v>
      </c>
      <c r="P748" s="304">
        <v>1</v>
      </c>
      <c r="Q748" s="304">
        <v>1</v>
      </c>
      <c r="R748" s="304">
        <v>1</v>
      </c>
      <c r="S748" s="308">
        <v>1</v>
      </c>
    </row>
    <row r="749" spans="1:19" ht="132">
      <c r="A749" s="303">
        <v>744</v>
      </c>
      <c r="B749" s="304">
        <v>968</v>
      </c>
      <c r="C749" s="305" t="s">
        <v>707</v>
      </c>
      <c r="D749" s="306" t="s">
        <v>708</v>
      </c>
      <c r="E749" s="305" t="s">
        <v>864</v>
      </c>
      <c r="F749" s="306" t="s">
        <v>82</v>
      </c>
      <c r="G749" s="306" t="s">
        <v>2910</v>
      </c>
      <c r="H749" s="306" t="s">
        <v>2017</v>
      </c>
      <c r="I749" s="306" t="s">
        <v>2929</v>
      </c>
      <c r="J749" s="304" t="s">
        <v>87</v>
      </c>
      <c r="K749" s="307">
        <v>43466</v>
      </c>
      <c r="L749" s="309">
        <v>44545</v>
      </c>
      <c r="M749" s="306" t="s">
        <v>214</v>
      </c>
      <c r="N749" s="304" t="s">
        <v>96</v>
      </c>
      <c r="O749" s="306" t="s">
        <v>71</v>
      </c>
      <c r="P749" s="304">
        <v>1</v>
      </c>
      <c r="Q749" s="304">
        <v>1</v>
      </c>
      <c r="R749" s="304">
        <v>1</v>
      </c>
      <c r="S749" s="308">
        <v>1</v>
      </c>
    </row>
    <row r="750" spans="1:19" ht="132">
      <c r="A750" s="303">
        <v>745</v>
      </c>
      <c r="B750" s="304">
        <v>969</v>
      </c>
      <c r="C750" s="305" t="s">
        <v>707</v>
      </c>
      <c r="D750" s="306" t="s">
        <v>708</v>
      </c>
      <c r="E750" s="305" t="s">
        <v>864</v>
      </c>
      <c r="F750" s="306" t="s">
        <v>82</v>
      </c>
      <c r="G750" s="306" t="s">
        <v>2910</v>
      </c>
      <c r="H750" s="306" t="s">
        <v>2021</v>
      </c>
      <c r="I750" s="306" t="s">
        <v>2930</v>
      </c>
      <c r="J750" s="304" t="s">
        <v>87</v>
      </c>
      <c r="K750" s="307">
        <v>43466</v>
      </c>
      <c r="L750" s="309">
        <v>45641</v>
      </c>
      <c r="M750" s="306" t="s">
        <v>214</v>
      </c>
      <c r="N750" s="304" t="s">
        <v>96</v>
      </c>
      <c r="O750" s="306" t="s">
        <v>71</v>
      </c>
      <c r="P750" s="304">
        <v>1</v>
      </c>
      <c r="Q750" s="304">
        <v>1</v>
      </c>
      <c r="R750" s="304">
        <v>1</v>
      </c>
      <c r="S750" s="308">
        <v>1</v>
      </c>
    </row>
    <row r="751" spans="1:19" ht="108">
      <c r="A751" s="303">
        <v>746</v>
      </c>
      <c r="B751" s="304">
        <v>970</v>
      </c>
      <c r="C751" s="305" t="s">
        <v>707</v>
      </c>
      <c r="D751" s="306" t="s">
        <v>708</v>
      </c>
      <c r="E751" s="305" t="s">
        <v>864</v>
      </c>
      <c r="F751" s="306" t="s">
        <v>82</v>
      </c>
      <c r="G751" s="306" t="s">
        <v>2910</v>
      </c>
      <c r="H751" s="306" t="s">
        <v>2025</v>
      </c>
      <c r="I751" s="306" t="s">
        <v>2931</v>
      </c>
      <c r="J751" s="304" t="s">
        <v>87</v>
      </c>
      <c r="K751" s="307">
        <v>43466</v>
      </c>
      <c r="L751" s="309">
        <v>45641</v>
      </c>
      <c r="M751" s="306" t="s">
        <v>214</v>
      </c>
      <c r="N751" s="304" t="s">
        <v>96</v>
      </c>
      <c r="O751" s="306" t="s">
        <v>71</v>
      </c>
      <c r="P751" s="304">
        <v>1</v>
      </c>
      <c r="Q751" s="304">
        <v>1</v>
      </c>
      <c r="R751" s="304">
        <v>1</v>
      </c>
      <c r="S751" s="308">
        <v>1</v>
      </c>
    </row>
    <row r="752" spans="1:19" ht="72">
      <c r="A752" s="303">
        <v>747</v>
      </c>
      <c r="B752" s="304">
        <v>971</v>
      </c>
      <c r="C752" s="305" t="s">
        <v>707</v>
      </c>
      <c r="D752" s="306" t="s">
        <v>708</v>
      </c>
      <c r="E752" s="305" t="s">
        <v>864</v>
      </c>
      <c r="F752" s="306" t="s">
        <v>82</v>
      </c>
      <c r="G752" s="306" t="s">
        <v>2910</v>
      </c>
      <c r="H752" s="306" t="s">
        <v>2029</v>
      </c>
      <c r="I752" s="306" t="s">
        <v>2932</v>
      </c>
      <c r="J752" s="304" t="s">
        <v>87</v>
      </c>
      <c r="K752" s="307">
        <v>43466</v>
      </c>
      <c r="L752" s="309">
        <v>45641</v>
      </c>
      <c r="M752" s="306" t="s">
        <v>214</v>
      </c>
      <c r="N752" s="304" t="s">
        <v>90</v>
      </c>
      <c r="O752" s="306" t="s">
        <v>71</v>
      </c>
      <c r="P752" s="304">
        <v>1</v>
      </c>
      <c r="Q752" s="304">
        <v>1</v>
      </c>
      <c r="R752" s="304">
        <v>1</v>
      </c>
      <c r="S752" s="308">
        <v>1</v>
      </c>
    </row>
    <row r="753" spans="1:19" ht="409.6">
      <c r="A753" s="303">
        <v>748</v>
      </c>
      <c r="B753" s="304">
        <v>972</v>
      </c>
      <c r="C753" s="305" t="s">
        <v>707</v>
      </c>
      <c r="D753" s="306" t="s">
        <v>708</v>
      </c>
      <c r="E753" s="305" t="s">
        <v>864</v>
      </c>
      <c r="F753" s="306" t="s">
        <v>82</v>
      </c>
      <c r="G753" s="306" t="s">
        <v>2910</v>
      </c>
      <c r="H753" s="306" t="s">
        <v>2034</v>
      </c>
      <c r="I753" s="306" t="s">
        <v>2933</v>
      </c>
      <c r="J753" s="304" t="s">
        <v>87</v>
      </c>
      <c r="K753" s="307">
        <v>43466</v>
      </c>
      <c r="L753" s="309">
        <v>45641</v>
      </c>
      <c r="M753" s="306" t="s">
        <v>205</v>
      </c>
      <c r="N753" s="304" t="s">
        <v>96</v>
      </c>
      <c r="O753" s="306" t="s">
        <v>71</v>
      </c>
      <c r="P753" s="304">
        <v>1</v>
      </c>
      <c r="Q753" s="304">
        <v>1</v>
      </c>
      <c r="R753" s="304">
        <v>1</v>
      </c>
      <c r="S753" s="308">
        <v>1</v>
      </c>
    </row>
    <row r="754" spans="1:19" ht="72">
      <c r="A754" s="303">
        <v>749</v>
      </c>
      <c r="B754" s="304">
        <v>973</v>
      </c>
      <c r="C754" s="305" t="s">
        <v>707</v>
      </c>
      <c r="D754" s="306" t="s">
        <v>708</v>
      </c>
      <c r="E754" s="305" t="s">
        <v>864</v>
      </c>
      <c r="F754" s="306" t="s">
        <v>82</v>
      </c>
      <c r="G754" s="306" t="s">
        <v>2910</v>
      </c>
      <c r="H754" s="306" t="s">
        <v>2038</v>
      </c>
      <c r="I754" s="306" t="s">
        <v>2038</v>
      </c>
      <c r="J754" s="304" t="s">
        <v>87</v>
      </c>
      <c r="K754" s="307">
        <v>43466</v>
      </c>
      <c r="L754" s="309">
        <v>45641</v>
      </c>
      <c r="M754" s="306" t="s">
        <v>205</v>
      </c>
      <c r="N754" s="304" t="s">
        <v>90</v>
      </c>
      <c r="O754" s="306" t="s">
        <v>71</v>
      </c>
      <c r="P754" s="304">
        <v>1</v>
      </c>
      <c r="Q754" s="304">
        <v>1</v>
      </c>
      <c r="R754" s="304">
        <v>1</v>
      </c>
      <c r="S754" s="308">
        <v>1</v>
      </c>
    </row>
    <row r="755" spans="1:19" ht="84">
      <c r="A755" s="303">
        <v>750</v>
      </c>
      <c r="B755" s="304">
        <v>974</v>
      </c>
      <c r="C755" s="305" t="s">
        <v>707</v>
      </c>
      <c r="D755" s="306" t="s">
        <v>708</v>
      </c>
      <c r="E755" s="305" t="s">
        <v>864</v>
      </c>
      <c r="F755" s="306" t="s">
        <v>82</v>
      </c>
      <c r="G755" s="306" t="s">
        <v>2910</v>
      </c>
      <c r="H755" s="306" t="s">
        <v>2041</v>
      </c>
      <c r="I755" s="306" t="s">
        <v>2934</v>
      </c>
      <c r="J755" s="304" t="s">
        <v>87</v>
      </c>
      <c r="K755" s="307">
        <v>43466</v>
      </c>
      <c r="L755" s="309">
        <v>45641</v>
      </c>
      <c r="M755" s="306" t="s">
        <v>209</v>
      </c>
      <c r="N755" s="304" t="s">
        <v>90</v>
      </c>
      <c r="O755" s="306" t="s">
        <v>71</v>
      </c>
      <c r="P755" s="304">
        <v>1</v>
      </c>
      <c r="Q755" s="304">
        <v>1</v>
      </c>
      <c r="R755" s="304">
        <v>1</v>
      </c>
      <c r="S755" s="308">
        <v>1</v>
      </c>
    </row>
    <row r="756" spans="1:19" ht="72">
      <c r="A756" s="303">
        <v>751</v>
      </c>
      <c r="B756" s="304">
        <v>975</v>
      </c>
      <c r="C756" s="305" t="s">
        <v>707</v>
      </c>
      <c r="D756" s="306" t="s">
        <v>708</v>
      </c>
      <c r="E756" s="305" t="s">
        <v>864</v>
      </c>
      <c r="F756" s="306" t="s">
        <v>82</v>
      </c>
      <c r="G756" s="306" t="s">
        <v>2910</v>
      </c>
      <c r="H756" s="306" t="s">
        <v>2044</v>
      </c>
      <c r="I756" s="306" t="s">
        <v>2045</v>
      </c>
      <c r="J756" s="304" t="s">
        <v>87</v>
      </c>
      <c r="K756" s="307">
        <v>43466</v>
      </c>
      <c r="L756" s="309">
        <v>43830</v>
      </c>
      <c r="M756" s="306" t="s">
        <v>214</v>
      </c>
      <c r="N756" s="304" t="s">
        <v>96</v>
      </c>
      <c r="O756" s="306" t="s">
        <v>71</v>
      </c>
      <c r="P756" s="304">
        <v>1</v>
      </c>
      <c r="Q756" s="304">
        <v>1</v>
      </c>
      <c r="R756" s="304">
        <v>1</v>
      </c>
      <c r="S756" s="308">
        <v>1</v>
      </c>
    </row>
    <row r="757" spans="1:19" ht="108">
      <c r="A757" s="303">
        <v>752</v>
      </c>
      <c r="B757" s="304">
        <v>976</v>
      </c>
      <c r="C757" s="305" t="s">
        <v>707</v>
      </c>
      <c r="D757" s="306" t="s">
        <v>708</v>
      </c>
      <c r="E757" s="305" t="s">
        <v>864</v>
      </c>
      <c r="F757" s="306" t="s">
        <v>82</v>
      </c>
      <c r="G757" s="306" t="s">
        <v>2910</v>
      </c>
      <c r="H757" s="306" t="s">
        <v>2050</v>
      </c>
      <c r="I757" s="306" t="s">
        <v>2935</v>
      </c>
      <c r="J757" s="304" t="s">
        <v>97</v>
      </c>
      <c r="K757" s="307">
        <v>43466</v>
      </c>
      <c r="L757" s="309">
        <v>43814</v>
      </c>
      <c r="M757" s="306" t="s">
        <v>205</v>
      </c>
      <c r="N757" s="304" t="s">
        <v>90</v>
      </c>
      <c r="O757" s="306" t="s">
        <v>71</v>
      </c>
      <c r="P757" s="304">
        <v>1</v>
      </c>
      <c r="Q757" s="304">
        <v>1</v>
      </c>
      <c r="R757" s="304">
        <v>1</v>
      </c>
      <c r="S757" s="308">
        <v>1</v>
      </c>
    </row>
    <row r="758" spans="1:19" ht="72">
      <c r="A758" s="303">
        <v>753</v>
      </c>
      <c r="B758" s="304">
        <v>977</v>
      </c>
      <c r="C758" s="305" t="s">
        <v>707</v>
      </c>
      <c r="D758" s="306" t="s">
        <v>708</v>
      </c>
      <c r="E758" s="305" t="s">
        <v>864</v>
      </c>
      <c r="F758" s="306" t="s">
        <v>82</v>
      </c>
      <c r="G758" s="306" t="s">
        <v>2910</v>
      </c>
      <c r="H758" s="306" t="s">
        <v>2048</v>
      </c>
      <c r="I758" s="306" t="s">
        <v>2936</v>
      </c>
      <c r="J758" s="304" t="s">
        <v>97</v>
      </c>
      <c r="K758" s="307">
        <v>43466</v>
      </c>
      <c r="L758" s="309">
        <v>44180</v>
      </c>
      <c r="M758" s="306" t="s">
        <v>205</v>
      </c>
      <c r="N758" s="304" t="s">
        <v>90</v>
      </c>
      <c r="O758" s="306" t="s">
        <v>71</v>
      </c>
      <c r="P758" s="304">
        <v>1</v>
      </c>
      <c r="Q758" s="304">
        <v>1</v>
      </c>
      <c r="R758" s="304">
        <v>1</v>
      </c>
      <c r="S758" s="308">
        <v>1</v>
      </c>
    </row>
    <row r="759" spans="1:19" ht="240">
      <c r="A759" s="303">
        <v>754</v>
      </c>
      <c r="B759" s="304">
        <v>978</v>
      </c>
      <c r="C759" s="305" t="s">
        <v>707</v>
      </c>
      <c r="D759" s="306" t="s">
        <v>708</v>
      </c>
      <c r="E759" s="305" t="s">
        <v>864</v>
      </c>
      <c r="F759" s="306" t="s">
        <v>82</v>
      </c>
      <c r="G759" s="306" t="s">
        <v>2910</v>
      </c>
      <c r="H759" s="306" t="s">
        <v>2054</v>
      </c>
      <c r="I759" s="306" t="s">
        <v>2937</v>
      </c>
      <c r="J759" s="304" t="s">
        <v>97</v>
      </c>
      <c r="K759" s="307">
        <v>43466</v>
      </c>
      <c r="L759" s="309">
        <v>44545</v>
      </c>
      <c r="M759" s="306" t="s">
        <v>221</v>
      </c>
      <c r="N759" s="304" t="s">
        <v>90</v>
      </c>
      <c r="O759" s="306" t="s">
        <v>71</v>
      </c>
      <c r="P759" s="304">
        <v>1</v>
      </c>
      <c r="Q759" s="304">
        <v>1</v>
      </c>
      <c r="R759" s="304">
        <v>1</v>
      </c>
      <c r="S759" s="308">
        <v>1</v>
      </c>
    </row>
    <row r="760" spans="1:19" ht="120">
      <c r="A760" s="303">
        <v>755</v>
      </c>
      <c r="B760" s="304">
        <v>979</v>
      </c>
      <c r="C760" s="305" t="s">
        <v>707</v>
      </c>
      <c r="D760" s="306" t="s">
        <v>708</v>
      </c>
      <c r="E760" s="305" t="s">
        <v>864</v>
      </c>
      <c r="F760" s="306" t="s">
        <v>82</v>
      </c>
      <c r="G760" s="306" t="s">
        <v>2910</v>
      </c>
      <c r="H760" s="306" t="s">
        <v>2056</v>
      </c>
      <c r="I760" s="306" t="s">
        <v>2938</v>
      </c>
      <c r="J760" s="304" t="s">
        <v>97</v>
      </c>
      <c r="K760" s="307">
        <v>43466</v>
      </c>
      <c r="L760" s="309">
        <v>45641</v>
      </c>
      <c r="M760" s="306" t="s">
        <v>214</v>
      </c>
      <c r="N760" s="304" t="s">
        <v>90</v>
      </c>
      <c r="O760" s="306" t="s">
        <v>71</v>
      </c>
      <c r="P760" s="304">
        <v>1</v>
      </c>
      <c r="Q760" s="304">
        <v>1</v>
      </c>
      <c r="R760" s="304">
        <v>1</v>
      </c>
      <c r="S760" s="308">
        <v>1</v>
      </c>
    </row>
    <row r="761" spans="1:19" ht="361">
      <c r="A761" s="303">
        <v>756</v>
      </c>
      <c r="B761" s="304">
        <v>980</v>
      </c>
      <c r="C761" s="305" t="s">
        <v>707</v>
      </c>
      <c r="D761" s="306" t="s">
        <v>708</v>
      </c>
      <c r="E761" s="305" t="s">
        <v>864</v>
      </c>
      <c r="F761" s="306" t="s">
        <v>82</v>
      </c>
      <c r="G761" s="306" t="s">
        <v>2910</v>
      </c>
      <c r="H761" s="306" t="s">
        <v>2058</v>
      </c>
      <c r="I761" s="306" t="s">
        <v>2939</v>
      </c>
      <c r="J761" s="304" t="s">
        <v>97</v>
      </c>
      <c r="K761" s="307">
        <v>43466</v>
      </c>
      <c r="L761" s="307">
        <v>43692</v>
      </c>
      <c r="M761" s="306" t="s">
        <v>205</v>
      </c>
      <c r="N761" s="304" t="s">
        <v>90</v>
      </c>
      <c r="O761" s="306" t="s">
        <v>71</v>
      </c>
      <c r="P761" s="304">
        <v>1</v>
      </c>
      <c r="Q761" s="304">
        <v>1</v>
      </c>
      <c r="R761" s="304">
        <v>1</v>
      </c>
      <c r="S761" s="308">
        <v>1</v>
      </c>
    </row>
    <row r="762" spans="1:19" ht="273">
      <c r="A762" s="303">
        <v>757</v>
      </c>
      <c r="B762" s="304">
        <v>981</v>
      </c>
      <c r="C762" s="305" t="s">
        <v>707</v>
      </c>
      <c r="D762" s="306" t="s">
        <v>708</v>
      </c>
      <c r="E762" s="305" t="s">
        <v>864</v>
      </c>
      <c r="F762" s="306" t="s">
        <v>82</v>
      </c>
      <c r="G762" s="306" t="s">
        <v>2910</v>
      </c>
      <c r="H762" s="306" t="s">
        <v>2060</v>
      </c>
      <c r="I762" s="306" t="s">
        <v>2940</v>
      </c>
      <c r="J762" s="304" t="s">
        <v>97</v>
      </c>
      <c r="K762" s="307">
        <v>43466</v>
      </c>
      <c r="L762" s="309">
        <v>44545</v>
      </c>
      <c r="M762" s="306" t="s">
        <v>205</v>
      </c>
      <c r="N762" s="304" t="s">
        <v>90</v>
      </c>
      <c r="O762" s="306" t="s">
        <v>71</v>
      </c>
      <c r="P762" s="304">
        <v>1</v>
      </c>
      <c r="Q762" s="304">
        <v>1</v>
      </c>
      <c r="R762" s="304">
        <v>1</v>
      </c>
      <c r="S762" s="308">
        <v>1</v>
      </c>
    </row>
    <row r="763" spans="1:19" ht="132">
      <c r="A763" s="303">
        <v>758</v>
      </c>
      <c r="B763" s="304">
        <v>982</v>
      </c>
      <c r="C763" s="305" t="s">
        <v>707</v>
      </c>
      <c r="D763" s="306" t="s">
        <v>708</v>
      </c>
      <c r="E763" s="305" t="s">
        <v>867</v>
      </c>
      <c r="F763" s="306" t="s">
        <v>83</v>
      </c>
      <c r="G763" s="306" t="s">
        <v>2941</v>
      </c>
      <c r="H763" s="306" t="s">
        <v>2066</v>
      </c>
      <c r="I763" s="306" t="s">
        <v>2942</v>
      </c>
      <c r="J763" s="304" t="s">
        <v>87</v>
      </c>
      <c r="K763" s="307">
        <v>43466</v>
      </c>
      <c r="L763" s="309">
        <v>45641</v>
      </c>
      <c r="M763" s="306" t="s">
        <v>207</v>
      </c>
      <c r="N763" s="304" t="s">
        <v>96</v>
      </c>
      <c r="O763" s="306" t="s">
        <v>71</v>
      </c>
      <c r="P763" s="304">
        <v>1</v>
      </c>
      <c r="Q763" s="304">
        <v>1</v>
      </c>
      <c r="R763" s="304">
        <v>1</v>
      </c>
      <c r="S763" s="308">
        <v>1</v>
      </c>
    </row>
    <row r="764" spans="1:19" ht="132">
      <c r="A764" s="303">
        <v>759</v>
      </c>
      <c r="B764" s="304">
        <v>983</v>
      </c>
      <c r="C764" s="305" t="s">
        <v>707</v>
      </c>
      <c r="D764" s="306" t="s">
        <v>708</v>
      </c>
      <c r="E764" s="305" t="s">
        <v>867</v>
      </c>
      <c r="F764" s="306" t="s">
        <v>83</v>
      </c>
      <c r="G764" s="306" t="s">
        <v>2941</v>
      </c>
      <c r="H764" s="306" t="s">
        <v>2067</v>
      </c>
      <c r="I764" s="306" t="s">
        <v>2943</v>
      </c>
      <c r="J764" s="304" t="s">
        <v>87</v>
      </c>
      <c r="K764" s="307">
        <v>43466</v>
      </c>
      <c r="L764" s="309">
        <v>45651</v>
      </c>
      <c r="M764" s="306" t="s">
        <v>214</v>
      </c>
      <c r="N764" s="304" t="s">
        <v>96</v>
      </c>
      <c r="O764" s="306" t="s">
        <v>71</v>
      </c>
      <c r="P764" s="304">
        <v>1</v>
      </c>
      <c r="Q764" s="304">
        <v>1</v>
      </c>
      <c r="R764" s="304">
        <v>1</v>
      </c>
      <c r="S764" s="308">
        <v>1</v>
      </c>
    </row>
    <row r="765" spans="1:19" ht="132">
      <c r="A765" s="303">
        <v>760</v>
      </c>
      <c r="B765" s="304">
        <v>984</v>
      </c>
      <c r="C765" s="305" t="s">
        <v>707</v>
      </c>
      <c r="D765" s="306" t="s">
        <v>708</v>
      </c>
      <c r="E765" s="305" t="s">
        <v>867</v>
      </c>
      <c r="F765" s="306" t="s">
        <v>83</v>
      </c>
      <c r="G765" s="306" t="s">
        <v>2941</v>
      </c>
      <c r="H765" s="306" t="s">
        <v>2068</v>
      </c>
      <c r="I765" s="306" t="s">
        <v>2944</v>
      </c>
      <c r="J765" s="304" t="s">
        <v>87</v>
      </c>
      <c r="K765" s="307">
        <v>43466</v>
      </c>
      <c r="L765" s="309">
        <v>45651</v>
      </c>
      <c r="M765" s="306" t="s">
        <v>99</v>
      </c>
      <c r="N765" s="304" t="s">
        <v>96</v>
      </c>
      <c r="O765" s="306" t="s">
        <v>71</v>
      </c>
      <c r="P765" s="304">
        <v>1</v>
      </c>
      <c r="Q765" s="304">
        <v>1</v>
      </c>
      <c r="R765" s="304">
        <v>1</v>
      </c>
      <c r="S765" s="308">
        <v>1</v>
      </c>
    </row>
    <row r="766" spans="1:19" ht="132">
      <c r="A766" s="303">
        <v>761</v>
      </c>
      <c r="B766" s="304">
        <v>985</v>
      </c>
      <c r="C766" s="305" t="s">
        <v>707</v>
      </c>
      <c r="D766" s="306" t="s">
        <v>708</v>
      </c>
      <c r="E766" s="305" t="s">
        <v>867</v>
      </c>
      <c r="F766" s="306" t="s">
        <v>83</v>
      </c>
      <c r="G766" s="306" t="s">
        <v>2941</v>
      </c>
      <c r="H766" s="306" t="s">
        <v>2069</v>
      </c>
      <c r="I766" s="306" t="s">
        <v>2945</v>
      </c>
      <c r="J766" s="304" t="s">
        <v>87</v>
      </c>
      <c r="K766" s="307">
        <v>43466</v>
      </c>
      <c r="L766" s="309">
        <v>45651</v>
      </c>
      <c r="M766" s="306" t="s">
        <v>205</v>
      </c>
      <c r="N766" s="304" t="s">
        <v>96</v>
      </c>
      <c r="O766" s="306" t="s">
        <v>71</v>
      </c>
      <c r="P766" s="304">
        <v>1</v>
      </c>
      <c r="Q766" s="304">
        <v>1</v>
      </c>
      <c r="R766" s="304">
        <v>1</v>
      </c>
      <c r="S766" s="308">
        <v>1</v>
      </c>
    </row>
    <row r="767" spans="1:19" ht="132">
      <c r="A767" s="303">
        <v>762</v>
      </c>
      <c r="B767" s="304">
        <v>986</v>
      </c>
      <c r="C767" s="305" t="s">
        <v>707</v>
      </c>
      <c r="D767" s="306" t="s">
        <v>708</v>
      </c>
      <c r="E767" s="305" t="s">
        <v>867</v>
      </c>
      <c r="F767" s="306" t="s">
        <v>83</v>
      </c>
      <c r="G767" s="306" t="s">
        <v>2941</v>
      </c>
      <c r="H767" s="306" t="s">
        <v>2070</v>
      </c>
      <c r="I767" s="306" t="s">
        <v>2946</v>
      </c>
      <c r="J767" s="304" t="s">
        <v>87</v>
      </c>
      <c r="K767" s="307">
        <v>43466</v>
      </c>
      <c r="L767" s="309">
        <v>44910</v>
      </c>
      <c r="M767" s="306" t="s">
        <v>211</v>
      </c>
      <c r="N767" s="304" t="s">
        <v>96</v>
      </c>
      <c r="O767" s="306" t="s">
        <v>71</v>
      </c>
      <c r="P767" s="304">
        <v>1</v>
      </c>
      <c r="Q767" s="304">
        <v>1</v>
      </c>
      <c r="R767" s="304">
        <v>1</v>
      </c>
      <c r="S767" s="308">
        <v>1</v>
      </c>
    </row>
    <row r="768" spans="1:19" ht="132">
      <c r="A768" s="303">
        <v>763</v>
      </c>
      <c r="B768" s="304">
        <v>987</v>
      </c>
      <c r="C768" s="305" t="s">
        <v>707</v>
      </c>
      <c r="D768" s="306" t="s">
        <v>708</v>
      </c>
      <c r="E768" s="305" t="s">
        <v>867</v>
      </c>
      <c r="F768" s="306" t="s">
        <v>83</v>
      </c>
      <c r="G768" s="306" t="s">
        <v>2941</v>
      </c>
      <c r="H768" s="306" t="s">
        <v>2073</v>
      </c>
      <c r="I768" s="306" t="s">
        <v>2947</v>
      </c>
      <c r="J768" s="304" t="s">
        <v>87</v>
      </c>
      <c r="K768" s="307">
        <v>43466</v>
      </c>
      <c r="L768" s="309">
        <v>45651</v>
      </c>
      <c r="M768" s="306" t="s">
        <v>207</v>
      </c>
      <c r="N768" s="304" t="s">
        <v>96</v>
      </c>
      <c r="O768" s="306" t="s">
        <v>71</v>
      </c>
      <c r="P768" s="304">
        <v>1</v>
      </c>
      <c r="Q768" s="304">
        <v>1</v>
      </c>
      <c r="R768" s="304">
        <v>1</v>
      </c>
      <c r="S768" s="308">
        <v>1</v>
      </c>
    </row>
    <row r="769" spans="1:19" ht="132">
      <c r="A769" s="303">
        <v>764</v>
      </c>
      <c r="B769" s="304">
        <v>988</v>
      </c>
      <c r="C769" s="305" t="s">
        <v>707</v>
      </c>
      <c r="D769" s="306" t="s">
        <v>708</v>
      </c>
      <c r="E769" s="305" t="s">
        <v>867</v>
      </c>
      <c r="F769" s="306" t="s">
        <v>83</v>
      </c>
      <c r="G769" s="306" t="s">
        <v>2941</v>
      </c>
      <c r="H769" s="306" t="s">
        <v>2074</v>
      </c>
      <c r="I769" s="306" t="s">
        <v>2948</v>
      </c>
      <c r="J769" s="304" t="s">
        <v>87</v>
      </c>
      <c r="K769" s="307">
        <v>43466</v>
      </c>
      <c r="L769" s="309">
        <v>45285</v>
      </c>
      <c r="M769" s="306" t="s">
        <v>99</v>
      </c>
      <c r="N769" s="304" t="s">
        <v>96</v>
      </c>
      <c r="O769" s="306" t="s">
        <v>71</v>
      </c>
      <c r="P769" s="304">
        <v>1</v>
      </c>
      <c r="Q769" s="304">
        <v>1</v>
      </c>
      <c r="R769" s="304">
        <v>1</v>
      </c>
      <c r="S769" s="308">
        <v>1</v>
      </c>
    </row>
    <row r="770" spans="1:19" ht="132">
      <c r="A770" s="303">
        <v>765</v>
      </c>
      <c r="B770" s="304">
        <v>989</v>
      </c>
      <c r="C770" s="305" t="s">
        <v>707</v>
      </c>
      <c r="D770" s="306" t="s">
        <v>708</v>
      </c>
      <c r="E770" s="305" t="s">
        <v>867</v>
      </c>
      <c r="F770" s="306" t="s">
        <v>83</v>
      </c>
      <c r="G770" s="306" t="s">
        <v>2941</v>
      </c>
      <c r="H770" s="306" t="s">
        <v>2075</v>
      </c>
      <c r="I770" s="306" t="s">
        <v>2949</v>
      </c>
      <c r="J770" s="304" t="s">
        <v>87</v>
      </c>
      <c r="K770" s="307">
        <v>43466</v>
      </c>
      <c r="L770" s="307">
        <v>43770</v>
      </c>
      <c r="M770" s="306" t="s">
        <v>344</v>
      </c>
      <c r="N770" s="304" t="s">
        <v>90</v>
      </c>
      <c r="O770" s="306" t="s">
        <v>71</v>
      </c>
      <c r="P770" s="304">
        <v>1</v>
      </c>
      <c r="Q770" s="304">
        <v>1</v>
      </c>
      <c r="R770" s="304">
        <v>1</v>
      </c>
      <c r="S770" s="308">
        <v>1</v>
      </c>
    </row>
    <row r="771" spans="1:19" ht="132">
      <c r="A771" s="303">
        <v>766</v>
      </c>
      <c r="B771" s="304">
        <v>990</v>
      </c>
      <c r="C771" s="305" t="s">
        <v>707</v>
      </c>
      <c r="D771" s="306" t="s">
        <v>708</v>
      </c>
      <c r="E771" s="305" t="s">
        <v>867</v>
      </c>
      <c r="F771" s="306" t="s">
        <v>83</v>
      </c>
      <c r="G771" s="306" t="s">
        <v>2941</v>
      </c>
      <c r="H771" s="306" t="s">
        <v>2076</v>
      </c>
      <c r="I771" s="306" t="s">
        <v>2950</v>
      </c>
      <c r="J771" s="304" t="s">
        <v>87</v>
      </c>
      <c r="K771" s="307">
        <v>43466</v>
      </c>
      <c r="L771" s="307">
        <v>45231</v>
      </c>
      <c r="M771" s="306" t="s">
        <v>344</v>
      </c>
      <c r="N771" s="304" t="s">
        <v>90</v>
      </c>
      <c r="O771" s="306" t="s">
        <v>71</v>
      </c>
      <c r="P771" s="304">
        <v>1</v>
      </c>
      <c r="Q771" s="304">
        <v>1</v>
      </c>
      <c r="R771" s="304">
        <v>1</v>
      </c>
      <c r="S771" s="308">
        <v>1</v>
      </c>
    </row>
    <row r="772" spans="1:19" ht="132">
      <c r="A772" s="303">
        <v>767</v>
      </c>
      <c r="B772" s="304">
        <v>991</v>
      </c>
      <c r="C772" s="305" t="s">
        <v>707</v>
      </c>
      <c r="D772" s="306" t="s">
        <v>708</v>
      </c>
      <c r="E772" s="305" t="s">
        <v>867</v>
      </c>
      <c r="F772" s="306" t="s">
        <v>83</v>
      </c>
      <c r="G772" s="306" t="s">
        <v>2941</v>
      </c>
      <c r="H772" s="306" t="s">
        <v>2077</v>
      </c>
      <c r="I772" s="306" t="s">
        <v>2951</v>
      </c>
      <c r="J772" s="304" t="s">
        <v>87</v>
      </c>
      <c r="K772" s="307">
        <v>43466</v>
      </c>
      <c r="L772" s="309">
        <v>45651</v>
      </c>
      <c r="M772" s="306" t="s">
        <v>207</v>
      </c>
      <c r="N772" s="304" t="s">
        <v>90</v>
      </c>
      <c r="O772" s="306" t="s">
        <v>71</v>
      </c>
      <c r="P772" s="304">
        <v>1</v>
      </c>
      <c r="Q772" s="304">
        <v>1</v>
      </c>
      <c r="R772" s="304">
        <v>1</v>
      </c>
      <c r="S772" s="308">
        <v>1</v>
      </c>
    </row>
    <row r="773" spans="1:19" ht="132">
      <c r="A773" s="303">
        <v>768</v>
      </c>
      <c r="B773" s="304">
        <v>992</v>
      </c>
      <c r="C773" s="305" t="s">
        <v>707</v>
      </c>
      <c r="D773" s="306" t="s">
        <v>708</v>
      </c>
      <c r="E773" s="305" t="s">
        <v>867</v>
      </c>
      <c r="F773" s="306" t="s">
        <v>83</v>
      </c>
      <c r="G773" s="306" t="s">
        <v>2941</v>
      </c>
      <c r="H773" s="306" t="s">
        <v>2078</v>
      </c>
      <c r="I773" s="306" t="s">
        <v>2952</v>
      </c>
      <c r="J773" s="304" t="s">
        <v>87</v>
      </c>
      <c r="K773" s="307">
        <v>43466</v>
      </c>
      <c r="L773" s="307">
        <v>45413</v>
      </c>
      <c r="M773" s="306" t="s">
        <v>99</v>
      </c>
      <c r="N773" s="304" t="s">
        <v>96</v>
      </c>
      <c r="O773" s="306" t="s">
        <v>71</v>
      </c>
      <c r="P773" s="304">
        <v>1</v>
      </c>
      <c r="Q773" s="304">
        <v>1</v>
      </c>
      <c r="R773" s="304">
        <v>1</v>
      </c>
      <c r="S773" s="308">
        <v>1</v>
      </c>
    </row>
    <row r="774" spans="1:19" ht="132">
      <c r="A774" s="303">
        <v>769</v>
      </c>
      <c r="B774" s="304">
        <v>993</v>
      </c>
      <c r="C774" s="305" t="s">
        <v>707</v>
      </c>
      <c r="D774" s="306" t="s">
        <v>708</v>
      </c>
      <c r="E774" s="305" t="s">
        <v>867</v>
      </c>
      <c r="F774" s="306" t="s">
        <v>83</v>
      </c>
      <c r="G774" s="306" t="s">
        <v>2941</v>
      </c>
      <c r="H774" s="306" t="s">
        <v>2079</v>
      </c>
      <c r="I774" s="306" t="s">
        <v>2953</v>
      </c>
      <c r="J774" s="304" t="s">
        <v>87</v>
      </c>
      <c r="K774" s="307">
        <v>43466</v>
      </c>
      <c r="L774" s="307">
        <v>45231</v>
      </c>
      <c r="M774" s="306" t="s">
        <v>344</v>
      </c>
      <c r="N774" s="304" t="s">
        <v>90</v>
      </c>
      <c r="O774" s="306" t="s">
        <v>71</v>
      </c>
      <c r="P774" s="304">
        <v>1</v>
      </c>
      <c r="Q774" s="304">
        <v>1</v>
      </c>
      <c r="R774" s="304">
        <v>1</v>
      </c>
      <c r="S774" s="308">
        <v>1</v>
      </c>
    </row>
    <row r="775" spans="1:19" ht="132">
      <c r="A775" s="303">
        <v>770</v>
      </c>
      <c r="B775" s="304">
        <v>994</v>
      </c>
      <c r="C775" s="305" t="s">
        <v>707</v>
      </c>
      <c r="D775" s="306" t="s">
        <v>708</v>
      </c>
      <c r="E775" s="305" t="s">
        <v>867</v>
      </c>
      <c r="F775" s="306" t="s">
        <v>83</v>
      </c>
      <c r="G775" s="306" t="s">
        <v>2941</v>
      </c>
      <c r="H775" s="306" t="s">
        <v>2080</v>
      </c>
      <c r="I775" s="306" t="s">
        <v>2954</v>
      </c>
      <c r="J775" s="304" t="s">
        <v>87</v>
      </c>
      <c r="K775" s="307">
        <v>43466</v>
      </c>
      <c r="L775" s="309">
        <v>45651</v>
      </c>
      <c r="M775" s="306" t="s">
        <v>207</v>
      </c>
      <c r="N775" s="304" t="s">
        <v>96</v>
      </c>
      <c r="O775" s="306" t="s">
        <v>71</v>
      </c>
      <c r="P775" s="304">
        <v>1</v>
      </c>
      <c r="Q775" s="304">
        <v>1</v>
      </c>
      <c r="R775" s="304">
        <v>1</v>
      </c>
      <c r="S775" s="308">
        <v>1</v>
      </c>
    </row>
    <row r="776" spans="1:19" ht="132">
      <c r="A776" s="303">
        <v>771</v>
      </c>
      <c r="B776" s="304">
        <v>995</v>
      </c>
      <c r="C776" s="305" t="s">
        <v>707</v>
      </c>
      <c r="D776" s="306" t="s">
        <v>708</v>
      </c>
      <c r="E776" s="305" t="s">
        <v>867</v>
      </c>
      <c r="F776" s="306" t="s">
        <v>83</v>
      </c>
      <c r="G776" s="306" t="s">
        <v>2941</v>
      </c>
      <c r="H776" s="306" t="s">
        <v>2083</v>
      </c>
      <c r="I776" s="306" t="s">
        <v>2955</v>
      </c>
      <c r="J776" s="304" t="s">
        <v>87</v>
      </c>
      <c r="K776" s="307">
        <v>43466</v>
      </c>
      <c r="L776" s="309">
        <v>45651</v>
      </c>
      <c r="M776" s="306" t="s">
        <v>207</v>
      </c>
      <c r="N776" s="304" t="s">
        <v>96</v>
      </c>
      <c r="O776" s="306" t="s">
        <v>71</v>
      </c>
      <c r="P776" s="304">
        <v>1</v>
      </c>
      <c r="Q776" s="304">
        <v>1</v>
      </c>
      <c r="R776" s="304">
        <v>1</v>
      </c>
      <c r="S776" s="308">
        <v>1</v>
      </c>
    </row>
    <row r="777" spans="1:19" ht="132">
      <c r="A777" s="303">
        <v>772</v>
      </c>
      <c r="B777" s="304">
        <v>996</v>
      </c>
      <c r="C777" s="305" t="s">
        <v>707</v>
      </c>
      <c r="D777" s="306" t="s">
        <v>708</v>
      </c>
      <c r="E777" s="305" t="s">
        <v>867</v>
      </c>
      <c r="F777" s="306" t="s">
        <v>83</v>
      </c>
      <c r="G777" s="306" t="s">
        <v>2941</v>
      </c>
      <c r="H777" s="306" t="s">
        <v>2084</v>
      </c>
      <c r="I777" s="306" t="s">
        <v>2956</v>
      </c>
      <c r="J777" s="304" t="s">
        <v>87</v>
      </c>
      <c r="K777" s="307">
        <v>43466</v>
      </c>
      <c r="L777" s="309">
        <v>43824</v>
      </c>
      <c r="M777" s="306" t="s">
        <v>95</v>
      </c>
      <c r="N777" s="304" t="s">
        <v>96</v>
      </c>
      <c r="O777" s="306" t="s">
        <v>71</v>
      </c>
      <c r="P777" s="304">
        <v>1</v>
      </c>
      <c r="Q777" s="304">
        <v>1</v>
      </c>
      <c r="R777" s="304">
        <v>1</v>
      </c>
      <c r="S777" s="308">
        <v>1</v>
      </c>
    </row>
    <row r="778" spans="1:19" ht="132">
      <c r="A778" s="303">
        <v>773</v>
      </c>
      <c r="B778" s="304">
        <v>997</v>
      </c>
      <c r="C778" s="305" t="s">
        <v>707</v>
      </c>
      <c r="D778" s="306" t="s">
        <v>708</v>
      </c>
      <c r="E778" s="305" t="s">
        <v>867</v>
      </c>
      <c r="F778" s="306" t="s">
        <v>83</v>
      </c>
      <c r="G778" s="306" t="s">
        <v>2941</v>
      </c>
      <c r="H778" s="306" t="s">
        <v>2085</v>
      </c>
      <c r="I778" s="306" t="s">
        <v>2957</v>
      </c>
      <c r="J778" s="304" t="s">
        <v>87</v>
      </c>
      <c r="K778" s="307">
        <v>43466</v>
      </c>
      <c r="L778" s="309">
        <v>44190</v>
      </c>
      <c r="M778" s="306" t="s">
        <v>95</v>
      </c>
      <c r="N778" s="304" t="s">
        <v>96</v>
      </c>
      <c r="O778" s="306" t="s">
        <v>71</v>
      </c>
      <c r="P778" s="304">
        <v>1</v>
      </c>
      <c r="Q778" s="304">
        <v>1</v>
      </c>
      <c r="R778" s="304">
        <v>1</v>
      </c>
      <c r="S778" s="308">
        <v>1</v>
      </c>
    </row>
    <row r="779" spans="1:19" ht="132">
      <c r="A779" s="303">
        <v>774</v>
      </c>
      <c r="B779" s="304">
        <v>998</v>
      </c>
      <c r="C779" s="305" t="s">
        <v>707</v>
      </c>
      <c r="D779" s="306" t="s">
        <v>708</v>
      </c>
      <c r="E779" s="305" t="s">
        <v>867</v>
      </c>
      <c r="F779" s="306" t="s">
        <v>83</v>
      </c>
      <c r="G779" s="306" t="s">
        <v>2941</v>
      </c>
      <c r="H779" s="306" t="s">
        <v>2958</v>
      </c>
      <c r="I779" s="306" t="s">
        <v>2959</v>
      </c>
      <c r="J779" s="304" t="s">
        <v>87</v>
      </c>
      <c r="K779" s="304" t="s">
        <v>88</v>
      </c>
      <c r="L779" s="309">
        <v>45651</v>
      </c>
      <c r="M779" s="306" t="s">
        <v>95</v>
      </c>
      <c r="N779" s="304" t="s">
        <v>96</v>
      </c>
      <c r="O779" s="306" t="s">
        <v>71</v>
      </c>
      <c r="P779" s="304">
        <v>1</v>
      </c>
      <c r="Q779" s="304">
        <v>1</v>
      </c>
      <c r="R779" s="304">
        <v>1</v>
      </c>
      <c r="S779" s="308">
        <v>1</v>
      </c>
    </row>
    <row r="780" spans="1:19" ht="132">
      <c r="A780" s="303">
        <v>775</v>
      </c>
      <c r="B780" s="304">
        <v>999</v>
      </c>
      <c r="C780" s="305" t="s">
        <v>707</v>
      </c>
      <c r="D780" s="306" t="s">
        <v>708</v>
      </c>
      <c r="E780" s="305" t="s">
        <v>867</v>
      </c>
      <c r="F780" s="306" t="s">
        <v>83</v>
      </c>
      <c r="G780" s="306" t="s">
        <v>2941</v>
      </c>
      <c r="H780" s="306" t="s">
        <v>2087</v>
      </c>
      <c r="I780" s="306" t="s">
        <v>2960</v>
      </c>
      <c r="J780" s="304" t="s">
        <v>87</v>
      </c>
      <c r="K780" s="307">
        <v>43466</v>
      </c>
      <c r="L780" s="309">
        <v>44555</v>
      </c>
      <c r="M780" s="306" t="s">
        <v>95</v>
      </c>
      <c r="N780" s="304" t="s">
        <v>96</v>
      </c>
      <c r="O780" s="306" t="s">
        <v>71</v>
      </c>
      <c r="P780" s="304">
        <v>1</v>
      </c>
      <c r="Q780" s="304">
        <v>1</v>
      </c>
      <c r="R780" s="304">
        <v>1</v>
      </c>
      <c r="S780" s="308">
        <v>1</v>
      </c>
    </row>
    <row r="781" spans="1:19" ht="132">
      <c r="A781" s="303">
        <v>776</v>
      </c>
      <c r="B781" s="304">
        <v>1000</v>
      </c>
      <c r="C781" s="305" t="s">
        <v>707</v>
      </c>
      <c r="D781" s="306" t="s">
        <v>708</v>
      </c>
      <c r="E781" s="305" t="s">
        <v>867</v>
      </c>
      <c r="F781" s="306" t="s">
        <v>83</v>
      </c>
      <c r="G781" s="306" t="s">
        <v>2941</v>
      </c>
      <c r="H781" s="306" t="s">
        <v>2088</v>
      </c>
      <c r="I781" s="306" t="s">
        <v>2961</v>
      </c>
      <c r="J781" s="304" t="s">
        <v>87</v>
      </c>
      <c r="K781" s="307">
        <v>43466</v>
      </c>
      <c r="L781" s="309">
        <v>45651</v>
      </c>
      <c r="M781" s="306" t="s">
        <v>95</v>
      </c>
      <c r="N781" s="304" t="s">
        <v>96</v>
      </c>
      <c r="O781" s="306" t="s">
        <v>71</v>
      </c>
      <c r="P781" s="304">
        <v>1</v>
      </c>
      <c r="Q781" s="304">
        <v>1</v>
      </c>
      <c r="R781" s="304">
        <v>1</v>
      </c>
      <c r="S781" s="308">
        <v>1</v>
      </c>
    </row>
    <row r="782" spans="1:19" ht="132">
      <c r="A782" s="303">
        <v>777</v>
      </c>
      <c r="B782" s="304">
        <v>1001</v>
      </c>
      <c r="C782" s="305" t="s">
        <v>707</v>
      </c>
      <c r="D782" s="306" t="s">
        <v>708</v>
      </c>
      <c r="E782" s="305" t="s">
        <v>867</v>
      </c>
      <c r="F782" s="306" t="s">
        <v>83</v>
      </c>
      <c r="G782" s="306" t="s">
        <v>2941</v>
      </c>
      <c r="H782" s="306" t="s">
        <v>2091</v>
      </c>
      <c r="I782" s="306" t="s">
        <v>2962</v>
      </c>
      <c r="J782" s="304" t="s">
        <v>87</v>
      </c>
      <c r="K782" s="307">
        <v>43466</v>
      </c>
      <c r="L782" s="309">
        <v>43824</v>
      </c>
      <c r="M782" s="306" t="s">
        <v>95</v>
      </c>
      <c r="N782" s="304" t="s">
        <v>96</v>
      </c>
      <c r="O782" s="306" t="s">
        <v>71</v>
      </c>
      <c r="P782" s="304">
        <v>1</v>
      </c>
      <c r="Q782" s="304">
        <v>1</v>
      </c>
      <c r="R782" s="304">
        <v>1</v>
      </c>
      <c r="S782" s="308">
        <v>1</v>
      </c>
    </row>
    <row r="783" spans="1:19" ht="132">
      <c r="A783" s="303">
        <v>778</v>
      </c>
      <c r="B783" s="304">
        <v>1002</v>
      </c>
      <c r="C783" s="305" t="s">
        <v>707</v>
      </c>
      <c r="D783" s="306" t="s">
        <v>708</v>
      </c>
      <c r="E783" s="305" t="s">
        <v>867</v>
      </c>
      <c r="F783" s="306" t="s">
        <v>83</v>
      </c>
      <c r="G783" s="306" t="s">
        <v>2941</v>
      </c>
      <c r="H783" s="306" t="s">
        <v>2092</v>
      </c>
      <c r="I783" s="306" t="s">
        <v>2963</v>
      </c>
      <c r="J783" s="304" t="s">
        <v>87</v>
      </c>
      <c r="K783" s="307">
        <v>43466</v>
      </c>
      <c r="L783" s="309">
        <v>45651</v>
      </c>
      <c r="M783" s="306" t="s">
        <v>99</v>
      </c>
      <c r="N783" s="304" t="s">
        <v>90</v>
      </c>
      <c r="O783" s="306" t="s">
        <v>71</v>
      </c>
      <c r="P783" s="304">
        <v>1</v>
      </c>
      <c r="Q783" s="304">
        <v>1</v>
      </c>
      <c r="R783" s="304">
        <v>1</v>
      </c>
      <c r="S783" s="308">
        <v>1</v>
      </c>
    </row>
    <row r="784" spans="1:19" ht="132">
      <c r="A784" s="303">
        <v>779</v>
      </c>
      <c r="B784" s="304">
        <v>1003</v>
      </c>
      <c r="C784" s="305" t="s">
        <v>707</v>
      </c>
      <c r="D784" s="306" t="s">
        <v>708</v>
      </c>
      <c r="E784" s="305" t="s">
        <v>867</v>
      </c>
      <c r="F784" s="306" t="s">
        <v>83</v>
      </c>
      <c r="G784" s="306" t="s">
        <v>2941</v>
      </c>
      <c r="H784" s="306" t="s">
        <v>2093</v>
      </c>
      <c r="I784" s="306" t="s">
        <v>2964</v>
      </c>
      <c r="J784" s="304" t="s">
        <v>87</v>
      </c>
      <c r="K784" s="307">
        <v>43466</v>
      </c>
      <c r="L784" s="309">
        <v>44190</v>
      </c>
      <c r="M784" s="306" t="s">
        <v>99</v>
      </c>
      <c r="N784" s="304" t="s">
        <v>96</v>
      </c>
      <c r="O784" s="306" t="s">
        <v>71</v>
      </c>
      <c r="P784" s="304">
        <v>1</v>
      </c>
      <c r="Q784" s="304">
        <v>1</v>
      </c>
      <c r="R784" s="304">
        <v>1</v>
      </c>
      <c r="S784" s="308">
        <v>1</v>
      </c>
    </row>
    <row r="785" spans="1:19" ht="132">
      <c r="A785" s="303">
        <v>780</v>
      </c>
      <c r="B785" s="304">
        <v>1004</v>
      </c>
      <c r="C785" s="305" t="s">
        <v>707</v>
      </c>
      <c r="D785" s="306" t="s">
        <v>708</v>
      </c>
      <c r="E785" s="305" t="s">
        <v>867</v>
      </c>
      <c r="F785" s="306" t="s">
        <v>83</v>
      </c>
      <c r="G785" s="306" t="s">
        <v>2941</v>
      </c>
      <c r="H785" s="306" t="s">
        <v>2094</v>
      </c>
      <c r="I785" s="306" t="s">
        <v>2965</v>
      </c>
      <c r="J785" s="304" t="s">
        <v>87</v>
      </c>
      <c r="K785" s="307">
        <v>43466</v>
      </c>
      <c r="L785" s="309">
        <v>44190</v>
      </c>
      <c r="M785" s="306" t="s">
        <v>99</v>
      </c>
      <c r="N785" s="304" t="s">
        <v>96</v>
      </c>
      <c r="O785" s="306" t="s">
        <v>71</v>
      </c>
      <c r="P785" s="304">
        <v>1</v>
      </c>
      <c r="Q785" s="304">
        <v>1</v>
      </c>
      <c r="R785" s="304">
        <v>1</v>
      </c>
      <c r="S785" s="308">
        <v>1</v>
      </c>
    </row>
    <row r="786" spans="1:19" ht="132">
      <c r="A786" s="303">
        <v>781</v>
      </c>
      <c r="B786" s="304">
        <v>1005</v>
      </c>
      <c r="C786" s="305" t="s">
        <v>707</v>
      </c>
      <c r="D786" s="306" t="s">
        <v>708</v>
      </c>
      <c r="E786" s="305" t="s">
        <v>867</v>
      </c>
      <c r="F786" s="306" t="s">
        <v>83</v>
      </c>
      <c r="G786" s="306" t="s">
        <v>2941</v>
      </c>
      <c r="H786" s="306" t="s">
        <v>2095</v>
      </c>
      <c r="I786" s="306" t="s">
        <v>2966</v>
      </c>
      <c r="J786" s="304" t="s">
        <v>87</v>
      </c>
      <c r="K786" s="307">
        <v>43466</v>
      </c>
      <c r="L786" s="309">
        <v>44190</v>
      </c>
      <c r="M786" s="306" t="s">
        <v>95</v>
      </c>
      <c r="N786" s="304" t="s">
        <v>96</v>
      </c>
      <c r="O786" s="306" t="s">
        <v>71</v>
      </c>
      <c r="P786" s="304">
        <v>1</v>
      </c>
      <c r="Q786" s="304">
        <v>1</v>
      </c>
      <c r="R786" s="304">
        <v>1</v>
      </c>
      <c r="S786" s="308">
        <v>1</v>
      </c>
    </row>
    <row r="787" spans="1:19" ht="132">
      <c r="A787" s="303">
        <v>782</v>
      </c>
      <c r="B787" s="304">
        <v>1006</v>
      </c>
      <c r="C787" s="305" t="s">
        <v>707</v>
      </c>
      <c r="D787" s="306" t="s">
        <v>708</v>
      </c>
      <c r="E787" s="305" t="s">
        <v>867</v>
      </c>
      <c r="F787" s="306" t="s">
        <v>83</v>
      </c>
      <c r="G787" s="306" t="s">
        <v>2941</v>
      </c>
      <c r="H787" s="306" t="s">
        <v>2967</v>
      </c>
      <c r="I787" s="306" t="s">
        <v>2968</v>
      </c>
      <c r="J787" s="304" t="s">
        <v>87</v>
      </c>
      <c r="K787" s="304" t="s">
        <v>88</v>
      </c>
      <c r="L787" s="309">
        <v>44190</v>
      </c>
      <c r="M787" s="306" t="s">
        <v>99</v>
      </c>
      <c r="N787" s="304" t="s">
        <v>96</v>
      </c>
      <c r="O787" s="306" t="s">
        <v>71</v>
      </c>
      <c r="P787" s="304">
        <v>1</v>
      </c>
      <c r="Q787" s="304">
        <v>1</v>
      </c>
      <c r="R787" s="304">
        <v>1</v>
      </c>
      <c r="S787" s="308">
        <v>1</v>
      </c>
    </row>
    <row r="788" spans="1:19" ht="192">
      <c r="A788" s="303">
        <v>783</v>
      </c>
      <c r="B788" s="304">
        <v>1007</v>
      </c>
      <c r="C788" s="305" t="s">
        <v>707</v>
      </c>
      <c r="D788" s="306" t="s">
        <v>708</v>
      </c>
      <c r="E788" s="305" t="s">
        <v>867</v>
      </c>
      <c r="F788" s="306" t="s">
        <v>83</v>
      </c>
      <c r="G788" s="306" t="s">
        <v>2941</v>
      </c>
      <c r="H788" s="306" t="s">
        <v>2099</v>
      </c>
      <c r="I788" s="306" t="s">
        <v>2969</v>
      </c>
      <c r="J788" s="304" t="s">
        <v>87</v>
      </c>
      <c r="K788" s="307">
        <v>43466</v>
      </c>
      <c r="L788" s="309">
        <v>43799</v>
      </c>
      <c r="M788" s="306" t="s">
        <v>89</v>
      </c>
      <c r="N788" s="304" t="s">
        <v>90</v>
      </c>
      <c r="O788" s="306" t="s">
        <v>71</v>
      </c>
      <c r="P788" s="304">
        <v>1</v>
      </c>
      <c r="Q788" s="304">
        <v>1</v>
      </c>
      <c r="R788" s="304">
        <v>1</v>
      </c>
      <c r="S788" s="308">
        <v>1</v>
      </c>
    </row>
    <row r="789" spans="1:19" ht="180">
      <c r="A789" s="303">
        <v>784</v>
      </c>
      <c r="B789" s="304">
        <v>1008</v>
      </c>
      <c r="C789" s="305" t="s">
        <v>707</v>
      </c>
      <c r="D789" s="306" t="s">
        <v>708</v>
      </c>
      <c r="E789" s="305" t="s">
        <v>867</v>
      </c>
      <c r="F789" s="306" t="s">
        <v>83</v>
      </c>
      <c r="G789" s="306" t="s">
        <v>2941</v>
      </c>
      <c r="H789" s="306" t="s">
        <v>2970</v>
      </c>
      <c r="I789" s="306" t="s">
        <v>2971</v>
      </c>
      <c r="J789" s="304" t="s">
        <v>87</v>
      </c>
      <c r="K789" s="304" t="s">
        <v>88</v>
      </c>
      <c r="L789" s="309">
        <v>43799</v>
      </c>
      <c r="M789" s="306" t="s">
        <v>89</v>
      </c>
      <c r="N789" s="304" t="s">
        <v>90</v>
      </c>
      <c r="O789" s="306" t="s">
        <v>71</v>
      </c>
      <c r="P789" s="304">
        <v>1</v>
      </c>
      <c r="Q789" s="304">
        <v>1</v>
      </c>
      <c r="R789" s="304">
        <v>1</v>
      </c>
      <c r="S789" s="308">
        <v>1</v>
      </c>
    </row>
    <row r="790" spans="1:19" ht="132">
      <c r="A790" s="303">
        <v>785</v>
      </c>
      <c r="B790" s="304">
        <v>1009</v>
      </c>
      <c r="C790" s="305" t="s">
        <v>707</v>
      </c>
      <c r="D790" s="306" t="s">
        <v>708</v>
      </c>
      <c r="E790" s="305" t="s">
        <v>867</v>
      </c>
      <c r="F790" s="306" t="s">
        <v>83</v>
      </c>
      <c r="G790" s="306" t="s">
        <v>2941</v>
      </c>
      <c r="H790" s="306" t="s">
        <v>2101</v>
      </c>
      <c r="I790" s="306" t="s">
        <v>2972</v>
      </c>
      <c r="J790" s="304" t="s">
        <v>87</v>
      </c>
      <c r="K790" s="307">
        <v>43466</v>
      </c>
      <c r="L790" s="309">
        <v>43799</v>
      </c>
      <c r="M790" s="306" t="s">
        <v>89</v>
      </c>
      <c r="N790" s="304" t="s">
        <v>90</v>
      </c>
      <c r="O790" s="306" t="s">
        <v>71</v>
      </c>
      <c r="P790" s="304">
        <v>1</v>
      </c>
      <c r="Q790" s="304">
        <v>1</v>
      </c>
      <c r="R790" s="304">
        <v>1</v>
      </c>
      <c r="S790" s="308">
        <v>1</v>
      </c>
    </row>
    <row r="791" spans="1:19" ht="144">
      <c r="A791" s="303">
        <v>786</v>
      </c>
      <c r="B791" s="304">
        <v>1010</v>
      </c>
      <c r="C791" s="305" t="s">
        <v>707</v>
      </c>
      <c r="D791" s="306" t="s">
        <v>708</v>
      </c>
      <c r="E791" s="305" t="s">
        <v>867</v>
      </c>
      <c r="F791" s="306" t="s">
        <v>83</v>
      </c>
      <c r="G791" s="306" t="s">
        <v>2941</v>
      </c>
      <c r="H791" s="306" t="s">
        <v>2102</v>
      </c>
      <c r="I791" s="306" t="s">
        <v>2973</v>
      </c>
      <c r="J791" s="304" t="s">
        <v>87</v>
      </c>
      <c r="K791" s="307">
        <v>43466</v>
      </c>
      <c r="L791" s="309">
        <v>43799</v>
      </c>
      <c r="M791" s="306" t="s">
        <v>89</v>
      </c>
      <c r="N791" s="304" t="s">
        <v>90</v>
      </c>
      <c r="O791" s="306" t="s">
        <v>71</v>
      </c>
      <c r="P791" s="304">
        <v>1</v>
      </c>
      <c r="Q791" s="304">
        <v>1</v>
      </c>
      <c r="R791" s="304">
        <v>1</v>
      </c>
      <c r="S791" s="308">
        <v>1</v>
      </c>
    </row>
    <row r="792" spans="1:19" ht="132">
      <c r="A792" s="303">
        <v>787</v>
      </c>
      <c r="B792" s="304">
        <v>1011</v>
      </c>
      <c r="C792" s="305" t="s">
        <v>707</v>
      </c>
      <c r="D792" s="306" t="s">
        <v>708</v>
      </c>
      <c r="E792" s="305" t="s">
        <v>867</v>
      </c>
      <c r="F792" s="306" t="s">
        <v>83</v>
      </c>
      <c r="G792" s="306" t="s">
        <v>2941</v>
      </c>
      <c r="H792" s="306" t="s">
        <v>2103</v>
      </c>
      <c r="I792" s="306" t="s">
        <v>2974</v>
      </c>
      <c r="J792" s="304" t="s">
        <v>87</v>
      </c>
      <c r="K792" s="307">
        <v>43466</v>
      </c>
      <c r="L792" s="309">
        <v>44190</v>
      </c>
      <c r="M792" s="306" t="s">
        <v>99</v>
      </c>
      <c r="N792" s="304" t="s">
        <v>96</v>
      </c>
      <c r="O792" s="306" t="s">
        <v>71</v>
      </c>
      <c r="P792" s="304">
        <v>1</v>
      </c>
      <c r="Q792" s="304">
        <v>1</v>
      </c>
      <c r="R792" s="304">
        <v>1</v>
      </c>
      <c r="S792" s="308">
        <v>1</v>
      </c>
    </row>
    <row r="793" spans="1:19" ht="372">
      <c r="A793" s="303">
        <v>788</v>
      </c>
      <c r="B793" s="304">
        <v>1352</v>
      </c>
      <c r="C793" s="305" t="s">
        <v>92</v>
      </c>
      <c r="D793" s="306" t="s">
        <v>2976</v>
      </c>
      <c r="E793" s="305" t="s">
        <v>305</v>
      </c>
      <c r="F793" s="306" t="s">
        <v>2977</v>
      </c>
      <c r="G793" s="306"/>
      <c r="H793" s="306" t="s">
        <v>2978</v>
      </c>
      <c r="I793" s="306" t="s">
        <v>2979</v>
      </c>
      <c r="J793" s="304"/>
      <c r="K793" s="304" t="s">
        <v>88</v>
      </c>
      <c r="L793" s="304" t="s">
        <v>2980</v>
      </c>
      <c r="M793" s="306"/>
      <c r="N793" s="304" t="s">
        <v>96</v>
      </c>
      <c r="O793" s="306" t="s">
        <v>71</v>
      </c>
      <c r="P793" s="304">
        <v>1</v>
      </c>
      <c r="Q793" s="304">
        <v>1</v>
      </c>
      <c r="R793" s="304">
        <v>1</v>
      </c>
      <c r="S793" s="308">
        <v>1</v>
      </c>
    </row>
    <row r="794" spans="1:19" ht="132">
      <c r="A794" s="303">
        <v>789</v>
      </c>
      <c r="B794" s="304">
        <v>1353</v>
      </c>
      <c r="C794" s="305" t="s">
        <v>92</v>
      </c>
      <c r="D794" s="306" t="s">
        <v>2976</v>
      </c>
      <c r="E794" s="304">
        <v>5</v>
      </c>
      <c r="F794" s="306" t="s">
        <v>2981</v>
      </c>
      <c r="G794" s="306"/>
      <c r="H794" s="306" t="s">
        <v>2982</v>
      </c>
      <c r="I794" s="306" t="s">
        <v>2983</v>
      </c>
      <c r="J794" s="304"/>
      <c r="K794" s="304" t="s">
        <v>88</v>
      </c>
      <c r="L794" s="304" t="s">
        <v>2980</v>
      </c>
      <c r="M794" s="306"/>
      <c r="N794" s="304" t="s">
        <v>96</v>
      </c>
      <c r="O794" s="306" t="s">
        <v>71</v>
      </c>
      <c r="P794" s="304">
        <v>1</v>
      </c>
      <c r="Q794" s="304">
        <v>1</v>
      </c>
      <c r="R794" s="304">
        <v>1</v>
      </c>
      <c r="S794" s="308">
        <v>1</v>
      </c>
    </row>
    <row r="795" spans="1:19" ht="409.6">
      <c r="A795" s="303">
        <v>790</v>
      </c>
      <c r="B795" s="304">
        <v>1354</v>
      </c>
      <c r="C795" s="305" t="s">
        <v>92</v>
      </c>
      <c r="D795" s="306" t="s">
        <v>2976</v>
      </c>
      <c r="E795" s="304">
        <v>5</v>
      </c>
      <c r="F795" s="306" t="s">
        <v>2981</v>
      </c>
      <c r="G795" s="306"/>
      <c r="H795" s="306" t="s">
        <v>2984</v>
      </c>
      <c r="I795" s="306" t="s">
        <v>2985</v>
      </c>
      <c r="J795" s="304"/>
      <c r="K795" s="304" t="s">
        <v>88</v>
      </c>
      <c r="L795" s="304" t="s">
        <v>2980</v>
      </c>
      <c r="M795" s="306"/>
      <c r="N795" s="304" t="s">
        <v>96</v>
      </c>
      <c r="O795" s="306" t="s">
        <v>71</v>
      </c>
      <c r="P795" s="304">
        <v>1</v>
      </c>
      <c r="Q795" s="304">
        <v>1</v>
      </c>
      <c r="R795" s="304">
        <v>1</v>
      </c>
      <c r="S795" s="308">
        <v>1</v>
      </c>
    </row>
    <row r="796" spans="1:19" ht="96">
      <c r="A796" s="303">
        <v>791</v>
      </c>
      <c r="B796" s="304">
        <v>1355</v>
      </c>
      <c r="C796" s="305" t="s">
        <v>92</v>
      </c>
      <c r="D796" s="306" t="s">
        <v>2976</v>
      </c>
      <c r="E796" s="304">
        <v>5</v>
      </c>
      <c r="F796" s="306" t="s">
        <v>2981</v>
      </c>
      <c r="G796" s="306"/>
      <c r="H796" s="306" t="s">
        <v>2986</v>
      </c>
      <c r="I796" s="306" t="s">
        <v>2987</v>
      </c>
      <c r="J796" s="304"/>
      <c r="K796" s="304" t="s">
        <v>88</v>
      </c>
      <c r="L796" s="304" t="s">
        <v>2980</v>
      </c>
      <c r="M796" s="306"/>
      <c r="N796" s="304" t="s">
        <v>96</v>
      </c>
      <c r="O796" s="306" t="s">
        <v>71</v>
      </c>
      <c r="P796" s="304">
        <v>1</v>
      </c>
      <c r="Q796" s="304">
        <v>1</v>
      </c>
      <c r="R796" s="304">
        <v>1</v>
      </c>
      <c r="S796" s="308">
        <v>1</v>
      </c>
    </row>
    <row r="797" spans="1:19" ht="156">
      <c r="A797" s="303">
        <v>792</v>
      </c>
      <c r="B797" s="304">
        <v>1356</v>
      </c>
      <c r="C797" s="305" t="s">
        <v>92</v>
      </c>
      <c r="D797" s="306" t="s">
        <v>2976</v>
      </c>
      <c r="E797" s="304">
        <v>7</v>
      </c>
      <c r="F797" s="306" t="s">
        <v>2988</v>
      </c>
      <c r="G797" s="306"/>
      <c r="H797" s="306" t="s">
        <v>2989</v>
      </c>
      <c r="I797" s="306" t="s">
        <v>2990</v>
      </c>
      <c r="J797" s="304"/>
      <c r="K797" s="304" t="s">
        <v>88</v>
      </c>
      <c r="L797" s="304" t="s">
        <v>2980</v>
      </c>
      <c r="M797" s="306"/>
      <c r="N797" s="304" t="s">
        <v>96</v>
      </c>
      <c r="O797" s="306" t="s">
        <v>71</v>
      </c>
      <c r="P797" s="304">
        <v>1</v>
      </c>
      <c r="Q797" s="304">
        <v>1</v>
      </c>
      <c r="R797" s="304">
        <v>1</v>
      </c>
      <c r="S797" s="308">
        <v>1</v>
      </c>
    </row>
    <row r="798" spans="1:19" ht="72">
      <c r="A798" s="303">
        <v>793</v>
      </c>
      <c r="B798" s="304">
        <v>1357</v>
      </c>
      <c r="C798" s="305" t="s">
        <v>92</v>
      </c>
      <c r="D798" s="306" t="s">
        <v>2976</v>
      </c>
      <c r="E798" s="304">
        <v>7</v>
      </c>
      <c r="F798" s="306" t="s">
        <v>2988</v>
      </c>
      <c r="G798" s="306"/>
      <c r="H798" s="306" t="s">
        <v>2986</v>
      </c>
      <c r="I798" s="306" t="s">
        <v>2987</v>
      </c>
      <c r="J798" s="304"/>
      <c r="K798" s="304" t="s">
        <v>88</v>
      </c>
      <c r="L798" s="304" t="s">
        <v>2980</v>
      </c>
      <c r="M798" s="306"/>
      <c r="N798" s="304" t="s">
        <v>96</v>
      </c>
      <c r="O798" s="306" t="s">
        <v>71</v>
      </c>
      <c r="P798" s="304">
        <v>1</v>
      </c>
      <c r="Q798" s="304">
        <v>1</v>
      </c>
      <c r="R798" s="304">
        <v>1</v>
      </c>
      <c r="S798" s="308">
        <v>1</v>
      </c>
    </row>
    <row r="799" spans="1:19" ht="132">
      <c r="A799" s="303">
        <v>794</v>
      </c>
      <c r="B799" s="304">
        <v>1358</v>
      </c>
      <c r="C799" s="305" t="s">
        <v>92</v>
      </c>
      <c r="D799" s="306" t="s">
        <v>2976</v>
      </c>
      <c r="E799" s="304">
        <v>8</v>
      </c>
      <c r="F799" s="306" t="s">
        <v>2991</v>
      </c>
      <c r="G799" s="306"/>
      <c r="H799" s="306" t="s">
        <v>2992</v>
      </c>
      <c r="I799" s="306" t="s">
        <v>2993</v>
      </c>
      <c r="J799" s="304"/>
      <c r="K799" s="304" t="s">
        <v>88</v>
      </c>
      <c r="L799" s="304" t="s">
        <v>2980</v>
      </c>
      <c r="M799" s="306"/>
      <c r="N799" s="304" t="s">
        <v>96</v>
      </c>
      <c r="O799" s="306" t="s">
        <v>71</v>
      </c>
      <c r="P799" s="304">
        <v>1</v>
      </c>
      <c r="Q799" s="304">
        <v>1</v>
      </c>
      <c r="R799" s="304">
        <v>1</v>
      </c>
      <c r="S799" s="308">
        <v>1</v>
      </c>
    </row>
    <row r="800" spans="1:19" ht="96">
      <c r="A800" s="303">
        <v>795</v>
      </c>
      <c r="B800" s="304">
        <v>1359</v>
      </c>
      <c r="C800" s="305" t="s">
        <v>92</v>
      </c>
      <c r="D800" s="306" t="s">
        <v>2976</v>
      </c>
      <c r="E800" s="304">
        <v>9</v>
      </c>
      <c r="F800" s="306" t="s">
        <v>2994</v>
      </c>
      <c r="G800" s="306"/>
      <c r="H800" s="306" t="s">
        <v>2995</v>
      </c>
      <c r="I800" s="306" t="s">
        <v>2996</v>
      </c>
      <c r="J800" s="304"/>
      <c r="K800" s="304" t="s">
        <v>88</v>
      </c>
      <c r="L800" s="304" t="s">
        <v>2980</v>
      </c>
      <c r="M800" s="306"/>
      <c r="N800" s="304" t="s">
        <v>96</v>
      </c>
      <c r="O800" s="306" t="s">
        <v>71</v>
      </c>
      <c r="P800" s="304">
        <v>1</v>
      </c>
      <c r="Q800" s="304">
        <v>1</v>
      </c>
      <c r="R800" s="304">
        <v>1</v>
      </c>
      <c r="S800" s="308">
        <v>1</v>
      </c>
    </row>
    <row r="801" spans="1:19" ht="409.6">
      <c r="A801" s="303">
        <v>796</v>
      </c>
      <c r="B801" s="304">
        <v>1360</v>
      </c>
      <c r="C801" s="305" t="s">
        <v>92</v>
      </c>
      <c r="D801" s="306" t="s">
        <v>2976</v>
      </c>
      <c r="E801" s="304">
        <v>9</v>
      </c>
      <c r="F801" s="306" t="s">
        <v>2994</v>
      </c>
      <c r="G801" s="306"/>
      <c r="H801" s="306" t="s">
        <v>2997</v>
      </c>
      <c r="I801" s="306" t="s">
        <v>2998</v>
      </c>
      <c r="J801" s="304"/>
      <c r="K801" s="304" t="s">
        <v>88</v>
      </c>
      <c r="L801" s="304" t="s">
        <v>2980</v>
      </c>
      <c r="M801" s="306"/>
      <c r="N801" s="304" t="s">
        <v>96</v>
      </c>
      <c r="O801" s="306" t="s">
        <v>71</v>
      </c>
      <c r="P801" s="304">
        <v>1</v>
      </c>
      <c r="Q801" s="304">
        <v>1</v>
      </c>
      <c r="R801" s="304">
        <v>1</v>
      </c>
      <c r="S801" s="308">
        <v>1</v>
      </c>
    </row>
    <row r="802" spans="1:19" ht="204">
      <c r="A802" s="303">
        <v>797</v>
      </c>
      <c r="B802" s="304">
        <v>1361</v>
      </c>
      <c r="C802" s="305" t="s">
        <v>92</v>
      </c>
      <c r="D802" s="306" t="s">
        <v>2976</v>
      </c>
      <c r="E802" s="304">
        <v>9</v>
      </c>
      <c r="F802" s="306" t="s">
        <v>2994</v>
      </c>
      <c r="G802" s="306"/>
      <c r="H802" s="306" t="s">
        <v>2999</v>
      </c>
      <c r="I802" s="306" t="s">
        <v>3000</v>
      </c>
      <c r="J802" s="304"/>
      <c r="K802" s="304" t="s">
        <v>88</v>
      </c>
      <c r="L802" s="304" t="s">
        <v>2980</v>
      </c>
      <c r="M802" s="306"/>
      <c r="N802" s="304" t="s">
        <v>96</v>
      </c>
      <c r="O802" s="306" t="s">
        <v>71</v>
      </c>
      <c r="P802" s="304">
        <v>1</v>
      </c>
      <c r="Q802" s="304">
        <v>1</v>
      </c>
      <c r="R802" s="304">
        <v>1</v>
      </c>
      <c r="S802" s="308">
        <v>1</v>
      </c>
    </row>
    <row r="803" spans="1:19" ht="84">
      <c r="A803" s="303">
        <v>798</v>
      </c>
      <c r="B803" s="304">
        <v>1362</v>
      </c>
      <c r="C803" s="305" t="s">
        <v>92</v>
      </c>
      <c r="D803" s="306" t="s">
        <v>2976</v>
      </c>
      <c r="E803" s="304">
        <v>9</v>
      </c>
      <c r="F803" s="306" t="s">
        <v>2994</v>
      </c>
      <c r="G803" s="306"/>
      <c r="H803" s="306" t="s">
        <v>2986</v>
      </c>
      <c r="I803" s="306" t="s">
        <v>2987</v>
      </c>
      <c r="J803" s="304"/>
      <c r="K803" s="304" t="s">
        <v>88</v>
      </c>
      <c r="L803" s="304" t="s">
        <v>2980</v>
      </c>
      <c r="M803" s="306"/>
      <c r="N803" s="304" t="s">
        <v>96</v>
      </c>
      <c r="O803" s="306" t="s">
        <v>71</v>
      </c>
      <c r="P803" s="304">
        <v>1</v>
      </c>
      <c r="Q803" s="304">
        <v>1</v>
      </c>
      <c r="R803" s="304">
        <v>1</v>
      </c>
      <c r="S803" s="308">
        <v>1</v>
      </c>
    </row>
    <row r="804" spans="1:19" ht="273">
      <c r="A804" s="303">
        <v>799</v>
      </c>
      <c r="B804" s="304">
        <v>1363</v>
      </c>
      <c r="C804" s="305" t="s">
        <v>92</v>
      </c>
      <c r="D804" s="306" t="s">
        <v>2976</v>
      </c>
      <c r="E804" s="304">
        <v>9</v>
      </c>
      <c r="F804" s="306" t="s">
        <v>2994</v>
      </c>
      <c r="G804" s="306"/>
      <c r="H804" s="306" t="s">
        <v>3001</v>
      </c>
      <c r="I804" s="306" t="s">
        <v>3002</v>
      </c>
      <c r="J804" s="304"/>
      <c r="K804" s="304" t="s">
        <v>88</v>
      </c>
      <c r="L804" s="304" t="s">
        <v>2980</v>
      </c>
      <c r="M804" s="306"/>
      <c r="N804" s="304" t="s">
        <v>96</v>
      </c>
      <c r="O804" s="306" t="s">
        <v>71</v>
      </c>
      <c r="P804" s="304">
        <v>1</v>
      </c>
      <c r="Q804" s="304">
        <v>1</v>
      </c>
      <c r="R804" s="304">
        <v>1</v>
      </c>
      <c r="S804" s="308">
        <v>1</v>
      </c>
    </row>
    <row r="805" spans="1:19" ht="84">
      <c r="A805" s="303">
        <v>800</v>
      </c>
      <c r="B805" s="304">
        <v>1364</v>
      </c>
      <c r="C805" s="305" t="s">
        <v>92</v>
      </c>
      <c r="D805" s="306" t="s">
        <v>2976</v>
      </c>
      <c r="E805" s="304" t="s">
        <v>3003</v>
      </c>
      <c r="F805" s="306" t="s">
        <v>3004</v>
      </c>
      <c r="G805" s="306"/>
      <c r="H805" s="306" t="s">
        <v>3005</v>
      </c>
      <c r="I805" s="306" t="s">
        <v>3006</v>
      </c>
      <c r="J805" s="304"/>
      <c r="K805" s="304" t="s">
        <v>88</v>
      </c>
      <c r="L805" s="304" t="s">
        <v>2980</v>
      </c>
      <c r="M805" s="306"/>
      <c r="N805" s="304" t="s">
        <v>96</v>
      </c>
      <c r="O805" s="306" t="s">
        <v>71</v>
      </c>
      <c r="P805" s="304">
        <v>1</v>
      </c>
      <c r="Q805" s="304">
        <v>1</v>
      </c>
      <c r="R805" s="304">
        <v>1</v>
      </c>
      <c r="S805" s="308">
        <v>1</v>
      </c>
    </row>
    <row r="806" spans="1:19" ht="409.6">
      <c r="A806" s="303">
        <v>801</v>
      </c>
      <c r="B806" s="304">
        <v>1365</v>
      </c>
      <c r="C806" s="305" t="s">
        <v>92</v>
      </c>
      <c r="D806" s="306" t="s">
        <v>2976</v>
      </c>
      <c r="E806" s="304" t="s">
        <v>3003</v>
      </c>
      <c r="F806" s="306" t="s">
        <v>3004</v>
      </c>
      <c r="G806" s="306"/>
      <c r="H806" s="306" t="s">
        <v>3007</v>
      </c>
      <c r="I806" s="306" t="s">
        <v>3008</v>
      </c>
      <c r="J806" s="304"/>
      <c r="K806" s="304" t="s">
        <v>88</v>
      </c>
      <c r="L806" s="304" t="s">
        <v>2980</v>
      </c>
      <c r="M806" s="306"/>
      <c r="N806" s="304" t="s">
        <v>96</v>
      </c>
      <c r="O806" s="306" t="s">
        <v>71</v>
      </c>
      <c r="P806" s="304">
        <v>1</v>
      </c>
      <c r="Q806" s="304">
        <v>1</v>
      </c>
      <c r="R806" s="304">
        <v>1</v>
      </c>
      <c r="S806" s="308">
        <v>1</v>
      </c>
    </row>
    <row r="807" spans="1:19" ht="72">
      <c r="A807" s="303">
        <v>802</v>
      </c>
      <c r="B807" s="304">
        <v>1366</v>
      </c>
      <c r="C807" s="305" t="s">
        <v>92</v>
      </c>
      <c r="D807" s="306" t="s">
        <v>2976</v>
      </c>
      <c r="E807" s="304" t="s">
        <v>2775</v>
      </c>
      <c r="F807" s="306" t="s">
        <v>3009</v>
      </c>
      <c r="G807" s="306"/>
      <c r="H807" s="306" t="s">
        <v>3010</v>
      </c>
      <c r="I807" s="306" t="s">
        <v>3011</v>
      </c>
      <c r="J807" s="304"/>
      <c r="K807" s="304" t="s">
        <v>88</v>
      </c>
      <c r="L807" s="304" t="s">
        <v>2980</v>
      </c>
      <c r="M807" s="306"/>
      <c r="N807" s="304" t="s">
        <v>96</v>
      </c>
      <c r="O807" s="306" t="s">
        <v>71</v>
      </c>
      <c r="P807" s="304">
        <v>1</v>
      </c>
      <c r="Q807" s="304">
        <v>1</v>
      </c>
      <c r="R807" s="304">
        <v>1</v>
      </c>
      <c r="S807" s="308">
        <v>1</v>
      </c>
    </row>
    <row r="808" spans="1:19" ht="273">
      <c r="A808" s="303">
        <v>803</v>
      </c>
      <c r="B808" s="304">
        <v>1367</v>
      </c>
      <c r="C808" s="305" t="s">
        <v>92</v>
      </c>
      <c r="D808" s="306" t="s">
        <v>2976</v>
      </c>
      <c r="E808" s="304" t="s">
        <v>2775</v>
      </c>
      <c r="F808" s="306" t="s">
        <v>3009</v>
      </c>
      <c r="G808" s="306"/>
      <c r="H808" s="306" t="s">
        <v>3012</v>
      </c>
      <c r="I808" s="306" t="s">
        <v>3013</v>
      </c>
      <c r="J808" s="304"/>
      <c r="K808" s="304" t="s">
        <v>88</v>
      </c>
      <c r="L808" s="304" t="s">
        <v>2980</v>
      </c>
      <c r="M808" s="306"/>
      <c r="N808" s="304" t="s">
        <v>96</v>
      </c>
      <c r="O808" s="306" t="s">
        <v>71</v>
      </c>
      <c r="P808" s="304">
        <v>1</v>
      </c>
      <c r="Q808" s="304">
        <v>1</v>
      </c>
      <c r="R808" s="304">
        <v>1</v>
      </c>
      <c r="S808" s="308">
        <v>1</v>
      </c>
    </row>
    <row r="809" spans="1:19" ht="409.6">
      <c r="A809" s="303">
        <v>804</v>
      </c>
      <c r="B809" s="304">
        <v>1368</v>
      </c>
      <c r="C809" s="305" t="s">
        <v>92</v>
      </c>
      <c r="D809" s="306" t="s">
        <v>2976</v>
      </c>
      <c r="E809" s="304" t="s">
        <v>2775</v>
      </c>
      <c r="F809" s="306" t="s">
        <v>3014</v>
      </c>
      <c r="G809" s="306"/>
      <c r="H809" s="306" t="s">
        <v>3015</v>
      </c>
      <c r="I809" s="306" t="s">
        <v>3016</v>
      </c>
      <c r="J809" s="304"/>
      <c r="K809" s="304" t="s">
        <v>88</v>
      </c>
      <c r="L809" s="304" t="s">
        <v>2980</v>
      </c>
      <c r="M809" s="306"/>
      <c r="N809" s="304" t="s">
        <v>96</v>
      </c>
      <c r="O809" s="306" t="s">
        <v>71</v>
      </c>
      <c r="P809" s="304">
        <v>1</v>
      </c>
      <c r="Q809" s="304">
        <v>1</v>
      </c>
      <c r="R809" s="304">
        <v>1</v>
      </c>
      <c r="S809" s="308">
        <v>1</v>
      </c>
    </row>
    <row r="810" spans="1:19" ht="409.6">
      <c r="A810" s="303">
        <v>805</v>
      </c>
      <c r="B810" s="304">
        <v>1369</v>
      </c>
      <c r="C810" s="305" t="s">
        <v>92</v>
      </c>
      <c r="D810" s="306" t="s">
        <v>2976</v>
      </c>
      <c r="E810" s="304" t="s">
        <v>1953</v>
      </c>
      <c r="F810" s="306" t="s">
        <v>3017</v>
      </c>
      <c r="G810" s="306"/>
      <c r="H810" s="306" t="s">
        <v>3018</v>
      </c>
      <c r="I810" s="306" t="s">
        <v>3019</v>
      </c>
      <c r="J810" s="304"/>
      <c r="K810" s="304" t="s">
        <v>88</v>
      </c>
      <c r="L810" s="304" t="s">
        <v>2980</v>
      </c>
      <c r="M810" s="306"/>
      <c r="N810" s="304" t="s">
        <v>96</v>
      </c>
      <c r="O810" s="306" t="s">
        <v>71</v>
      </c>
      <c r="P810" s="304">
        <v>1</v>
      </c>
      <c r="Q810" s="304">
        <v>1</v>
      </c>
      <c r="R810" s="304">
        <v>1</v>
      </c>
      <c r="S810" s="308">
        <v>1</v>
      </c>
    </row>
    <row r="811" spans="1:19" ht="409.6">
      <c r="A811" s="303">
        <v>806</v>
      </c>
      <c r="B811" s="304">
        <v>1370</v>
      </c>
      <c r="C811" s="305" t="s">
        <v>92</v>
      </c>
      <c r="D811" s="306" t="s">
        <v>2976</v>
      </c>
      <c r="E811" s="304" t="s">
        <v>1953</v>
      </c>
      <c r="F811" s="306" t="s">
        <v>3017</v>
      </c>
      <c r="G811" s="306"/>
      <c r="H811" s="306" t="s">
        <v>3020</v>
      </c>
      <c r="I811" s="306" t="s">
        <v>3021</v>
      </c>
      <c r="J811" s="304"/>
      <c r="K811" s="304" t="s">
        <v>88</v>
      </c>
      <c r="L811" s="304" t="s">
        <v>2980</v>
      </c>
      <c r="M811" s="306"/>
      <c r="N811" s="304" t="s">
        <v>96</v>
      </c>
      <c r="O811" s="306" t="s">
        <v>71</v>
      </c>
      <c r="P811" s="304">
        <v>1</v>
      </c>
      <c r="Q811" s="304">
        <v>1</v>
      </c>
      <c r="R811" s="304">
        <v>1</v>
      </c>
      <c r="S811" s="308">
        <v>1</v>
      </c>
    </row>
    <row r="812" spans="1:19" ht="317">
      <c r="A812" s="303">
        <v>807</v>
      </c>
      <c r="B812" s="304">
        <v>1371</v>
      </c>
      <c r="C812" s="305" t="s">
        <v>92</v>
      </c>
      <c r="D812" s="306" t="s">
        <v>2976</v>
      </c>
      <c r="E812" s="304" t="s">
        <v>1953</v>
      </c>
      <c r="F812" s="306" t="s">
        <v>3017</v>
      </c>
      <c r="G812" s="306"/>
      <c r="H812" s="306" t="s">
        <v>3022</v>
      </c>
      <c r="I812" s="306" t="s">
        <v>3023</v>
      </c>
      <c r="J812" s="304"/>
      <c r="K812" s="304" t="s">
        <v>88</v>
      </c>
      <c r="L812" s="304" t="s">
        <v>2980</v>
      </c>
      <c r="M812" s="306"/>
      <c r="N812" s="304" t="s">
        <v>96</v>
      </c>
      <c r="O812" s="306" t="s">
        <v>71</v>
      </c>
      <c r="P812" s="304">
        <v>1</v>
      </c>
      <c r="Q812" s="304">
        <v>1</v>
      </c>
      <c r="R812" s="304">
        <v>1</v>
      </c>
      <c r="S812" s="308">
        <v>1</v>
      </c>
    </row>
    <row r="813" spans="1:19" ht="350">
      <c r="A813" s="303">
        <v>808</v>
      </c>
      <c r="B813" s="304">
        <v>1372</v>
      </c>
      <c r="C813" s="305" t="s">
        <v>92</v>
      </c>
      <c r="D813" s="306" t="s">
        <v>2976</v>
      </c>
      <c r="E813" s="304" t="s">
        <v>1953</v>
      </c>
      <c r="F813" s="306" t="s">
        <v>3017</v>
      </c>
      <c r="G813" s="306"/>
      <c r="H813" s="306" t="s">
        <v>3024</v>
      </c>
      <c r="I813" s="306" t="s">
        <v>3025</v>
      </c>
      <c r="J813" s="304"/>
      <c r="K813" s="304" t="s">
        <v>88</v>
      </c>
      <c r="L813" s="304" t="s">
        <v>2980</v>
      </c>
      <c r="M813" s="306"/>
      <c r="N813" s="304" t="s">
        <v>96</v>
      </c>
      <c r="O813" s="306" t="s">
        <v>71</v>
      </c>
      <c r="P813" s="304">
        <v>1</v>
      </c>
      <c r="Q813" s="304">
        <v>1</v>
      </c>
      <c r="R813" s="304">
        <v>1</v>
      </c>
      <c r="S813" s="308">
        <v>1</v>
      </c>
    </row>
    <row r="814" spans="1:19" ht="409.6">
      <c r="A814" s="303">
        <v>809</v>
      </c>
      <c r="B814" s="304">
        <v>1373</v>
      </c>
      <c r="C814" s="305" t="s">
        <v>92</v>
      </c>
      <c r="D814" s="306" t="s">
        <v>2976</v>
      </c>
      <c r="E814" s="304" t="s">
        <v>1953</v>
      </c>
      <c r="F814" s="306" t="s">
        <v>3017</v>
      </c>
      <c r="G814" s="306"/>
      <c r="H814" s="306" t="s">
        <v>3026</v>
      </c>
      <c r="I814" s="306" t="s">
        <v>3027</v>
      </c>
      <c r="J814" s="304"/>
      <c r="K814" s="304" t="s">
        <v>88</v>
      </c>
      <c r="L814" s="304" t="s">
        <v>2980</v>
      </c>
      <c r="M814" s="306"/>
      <c r="N814" s="304" t="s">
        <v>96</v>
      </c>
      <c r="O814" s="306" t="s">
        <v>71</v>
      </c>
      <c r="P814" s="304">
        <v>1</v>
      </c>
      <c r="Q814" s="304">
        <v>1</v>
      </c>
      <c r="R814" s="304">
        <v>1</v>
      </c>
      <c r="S814" s="308">
        <v>1</v>
      </c>
    </row>
    <row r="815" spans="1:19" ht="350">
      <c r="A815" s="303">
        <v>810</v>
      </c>
      <c r="B815" s="304">
        <v>1374</v>
      </c>
      <c r="C815" s="305" t="s">
        <v>92</v>
      </c>
      <c r="D815" s="306" t="s">
        <v>2976</v>
      </c>
      <c r="E815" s="304" t="s">
        <v>1953</v>
      </c>
      <c r="F815" s="306" t="s">
        <v>3017</v>
      </c>
      <c r="G815" s="306"/>
      <c r="H815" s="306" t="s">
        <v>3028</v>
      </c>
      <c r="I815" s="306" t="s">
        <v>3029</v>
      </c>
      <c r="J815" s="304"/>
      <c r="K815" s="304" t="s">
        <v>88</v>
      </c>
      <c r="L815" s="304" t="s">
        <v>2980</v>
      </c>
      <c r="M815" s="306"/>
      <c r="N815" s="304" t="s">
        <v>96</v>
      </c>
      <c r="O815" s="306" t="s">
        <v>71</v>
      </c>
      <c r="P815" s="304">
        <v>1</v>
      </c>
      <c r="Q815" s="304">
        <v>1</v>
      </c>
      <c r="R815" s="304">
        <v>1</v>
      </c>
      <c r="S815" s="308">
        <v>1</v>
      </c>
    </row>
    <row r="816" spans="1:19" ht="409.6">
      <c r="A816" s="303">
        <v>811</v>
      </c>
      <c r="B816" s="304">
        <v>1375</v>
      </c>
      <c r="C816" s="305" t="s">
        <v>92</v>
      </c>
      <c r="D816" s="306" t="s">
        <v>2976</v>
      </c>
      <c r="E816" s="304" t="s">
        <v>1953</v>
      </c>
      <c r="F816" s="306" t="s">
        <v>3017</v>
      </c>
      <c r="G816" s="306"/>
      <c r="H816" s="306" t="s">
        <v>3030</v>
      </c>
      <c r="I816" s="306" t="s">
        <v>3031</v>
      </c>
      <c r="J816" s="304"/>
      <c r="K816" s="304" t="s">
        <v>88</v>
      </c>
      <c r="L816" s="304" t="s">
        <v>2980</v>
      </c>
      <c r="M816" s="306"/>
      <c r="N816" s="304" t="s">
        <v>96</v>
      </c>
      <c r="O816" s="306" t="s">
        <v>71</v>
      </c>
      <c r="P816" s="304">
        <v>1</v>
      </c>
      <c r="Q816" s="304">
        <v>1</v>
      </c>
      <c r="R816" s="304">
        <v>1</v>
      </c>
      <c r="S816" s="308">
        <v>1</v>
      </c>
    </row>
    <row r="817" spans="1:19" ht="409.6">
      <c r="A817" s="303">
        <v>812</v>
      </c>
      <c r="B817" s="304">
        <v>1376</v>
      </c>
      <c r="C817" s="305" t="s">
        <v>92</v>
      </c>
      <c r="D817" s="306" t="s">
        <v>2976</v>
      </c>
      <c r="E817" s="304" t="s">
        <v>1953</v>
      </c>
      <c r="F817" s="306" t="s">
        <v>3017</v>
      </c>
      <c r="G817" s="306"/>
      <c r="H817" s="306" t="s">
        <v>3032</v>
      </c>
      <c r="I817" s="306" t="s">
        <v>3033</v>
      </c>
      <c r="J817" s="304"/>
      <c r="K817" s="304" t="s">
        <v>88</v>
      </c>
      <c r="L817" s="304" t="s">
        <v>3034</v>
      </c>
      <c r="M817" s="306"/>
      <c r="N817" s="304" t="s">
        <v>96</v>
      </c>
      <c r="O817" s="306" t="s">
        <v>71</v>
      </c>
      <c r="P817" s="304">
        <v>1</v>
      </c>
      <c r="Q817" s="304">
        <v>1</v>
      </c>
      <c r="R817" s="304">
        <v>1</v>
      </c>
      <c r="S817" s="308">
        <v>1</v>
      </c>
    </row>
    <row r="818" spans="1:19" ht="409.6">
      <c r="A818" s="303">
        <v>813</v>
      </c>
      <c r="B818" s="304">
        <v>1377</v>
      </c>
      <c r="C818" s="305" t="s">
        <v>92</v>
      </c>
      <c r="D818" s="306" t="s">
        <v>2976</v>
      </c>
      <c r="E818" s="304" t="s">
        <v>1953</v>
      </c>
      <c r="F818" s="306" t="s">
        <v>3017</v>
      </c>
      <c r="G818" s="306"/>
      <c r="H818" s="306" t="s">
        <v>3035</v>
      </c>
      <c r="I818" s="306" t="s">
        <v>3036</v>
      </c>
      <c r="J818" s="304"/>
      <c r="K818" s="304" t="s">
        <v>88</v>
      </c>
      <c r="L818" s="304" t="s">
        <v>2980</v>
      </c>
      <c r="M818" s="306"/>
      <c r="N818" s="304" t="s">
        <v>96</v>
      </c>
      <c r="O818" s="306" t="s">
        <v>71</v>
      </c>
      <c r="P818" s="304">
        <v>1</v>
      </c>
      <c r="Q818" s="304">
        <v>1</v>
      </c>
      <c r="R818" s="304">
        <v>1</v>
      </c>
      <c r="S818" s="308">
        <v>1</v>
      </c>
    </row>
    <row r="819" spans="1:19" ht="317">
      <c r="A819" s="303">
        <v>814</v>
      </c>
      <c r="B819" s="304">
        <v>1378</v>
      </c>
      <c r="C819" s="305" t="s">
        <v>92</v>
      </c>
      <c r="D819" s="306" t="s">
        <v>2976</v>
      </c>
      <c r="E819" s="304" t="s">
        <v>1953</v>
      </c>
      <c r="F819" s="306" t="s">
        <v>3017</v>
      </c>
      <c r="G819" s="306"/>
      <c r="H819" s="306" t="s">
        <v>3037</v>
      </c>
      <c r="I819" s="306" t="s">
        <v>3038</v>
      </c>
      <c r="J819" s="304"/>
      <c r="K819" s="304" t="s">
        <v>88</v>
      </c>
      <c r="L819" s="304" t="s">
        <v>2980</v>
      </c>
      <c r="M819" s="306"/>
      <c r="N819" s="304" t="s">
        <v>96</v>
      </c>
      <c r="O819" s="306" t="s">
        <v>71</v>
      </c>
      <c r="P819" s="304">
        <v>1</v>
      </c>
      <c r="Q819" s="304">
        <v>1</v>
      </c>
      <c r="R819" s="304">
        <v>1</v>
      </c>
      <c r="S819" s="308">
        <v>1</v>
      </c>
    </row>
    <row r="820" spans="1:19" ht="216">
      <c r="A820" s="303">
        <v>815</v>
      </c>
      <c r="B820" s="304">
        <v>1379</v>
      </c>
      <c r="C820" s="305" t="s">
        <v>92</v>
      </c>
      <c r="D820" s="306" t="s">
        <v>2976</v>
      </c>
      <c r="E820" s="304" t="s">
        <v>1953</v>
      </c>
      <c r="F820" s="306" t="s">
        <v>3017</v>
      </c>
      <c r="G820" s="306"/>
      <c r="H820" s="306" t="s">
        <v>2986</v>
      </c>
      <c r="I820" s="306" t="s">
        <v>3039</v>
      </c>
      <c r="J820" s="304"/>
      <c r="K820" s="304" t="s">
        <v>88</v>
      </c>
      <c r="L820" s="304" t="s">
        <v>2980</v>
      </c>
      <c r="M820" s="306"/>
      <c r="N820" s="304" t="s">
        <v>96</v>
      </c>
      <c r="O820" s="306" t="s">
        <v>71</v>
      </c>
      <c r="P820" s="304">
        <v>1</v>
      </c>
      <c r="Q820" s="304">
        <v>1</v>
      </c>
      <c r="R820" s="304">
        <v>1</v>
      </c>
      <c r="S820" s="308">
        <v>1</v>
      </c>
    </row>
    <row r="821" spans="1:19" ht="409.6">
      <c r="A821" s="303">
        <v>816</v>
      </c>
      <c r="B821" s="304">
        <v>1380</v>
      </c>
      <c r="C821" s="305" t="s">
        <v>92</v>
      </c>
      <c r="D821" s="306" t="s">
        <v>2976</v>
      </c>
      <c r="E821" s="304" t="s">
        <v>1953</v>
      </c>
      <c r="F821" s="306" t="s">
        <v>3017</v>
      </c>
      <c r="G821" s="306"/>
      <c r="H821" s="306" t="s">
        <v>3040</v>
      </c>
      <c r="I821" s="306" t="s">
        <v>3041</v>
      </c>
      <c r="J821" s="304"/>
      <c r="K821" s="304" t="s">
        <v>88</v>
      </c>
      <c r="L821" s="304" t="s">
        <v>2980</v>
      </c>
      <c r="M821" s="306"/>
      <c r="N821" s="304" t="s">
        <v>96</v>
      </c>
      <c r="O821" s="306" t="s">
        <v>71</v>
      </c>
      <c r="P821" s="304">
        <v>1</v>
      </c>
      <c r="Q821" s="304">
        <v>1</v>
      </c>
      <c r="R821" s="304">
        <v>1</v>
      </c>
      <c r="S821" s="308">
        <v>1</v>
      </c>
    </row>
    <row r="822" spans="1:19" ht="180">
      <c r="A822" s="303">
        <v>817</v>
      </c>
      <c r="B822" s="304">
        <v>1381</v>
      </c>
      <c r="C822" s="305" t="s">
        <v>102</v>
      </c>
      <c r="D822" s="306" t="s">
        <v>3042</v>
      </c>
      <c r="E822" s="304">
        <v>1</v>
      </c>
      <c r="F822" s="306" t="s">
        <v>3043</v>
      </c>
      <c r="G822" s="306"/>
      <c r="H822" s="306" t="s">
        <v>3044</v>
      </c>
      <c r="I822" s="306" t="s">
        <v>3045</v>
      </c>
      <c r="J822" s="304"/>
      <c r="K822" s="304" t="s">
        <v>88</v>
      </c>
      <c r="L822" s="304" t="s">
        <v>3046</v>
      </c>
      <c r="M822" s="306"/>
      <c r="N822" s="304" t="s">
        <v>96</v>
      </c>
      <c r="O822" s="306" t="s">
        <v>51</v>
      </c>
      <c r="P822" s="304">
        <v>1</v>
      </c>
      <c r="Q822" s="304">
        <v>1</v>
      </c>
      <c r="R822" s="304">
        <v>1</v>
      </c>
      <c r="S822" s="308">
        <v>1</v>
      </c>
    </row>
    <row r="823" spans="1:19" ht="262">
      <c r="A823" s="303">
        <v>818</v>
      </c>
      <c r="B823" s="304">
        <v>1382</v>
      </c>
      <c r="C823" s="305" t="s">
        <v>102</v>
      </c>
      <c r="D823" s="306" t="s">
        <v>3042</v>
      </c>
      <c r="E823" s="304">
        <v>2</v>
      </c>
      <c r="F823" s="306" t="s">
        <v>3047</v>
      </c>
      <c r="G823" s="306"/>
      <c r="H823" s="306" t="s">
        <v>3048</v>
      </c>
      <c r="I823" s="306" t="s">
        <v>3049</v>
      </c>
      <c r="J823" s="304"/>
      <c r="K823" s="304" t="s">
        <v>88</v>
      </c>
      <c r="L823" s="304" t="s">
        <v>3046</v>
      </c>
      <c r="M823" s="306"/>
      <c r="N823" s="304" t="s">
        <v>96</v>
      </c>
      <c r="O823" s="306" t="s">
        <v>13</v>
      </c>
      <c r="P823" s="304">
        <v>1</v>
      </c>
      <c r="Q823" s="304">
        <v>1</v>
      </c>
      <c r="R823" s="304">
        <v>1</v>
      </c>
      <c r="S823" s="308">
        <v>1</v>
      </c>
    </row>
    <row r="824" spans="1:19" ht="192">
      <c r="A824" s="303">
        <v>819</v>
      </c>
      <c r="B824" s="304">
        <v>1383</v>
      </c>
      <c r="C824" s="305" t="s">
        <v>102</v>
      </c>
      <c r="D824" s="306" t="s">
        <v>3042</v>
      </c>
      <c r="E824" s="304">
        <v>4</v>
      </c>
      <c r="F824" s="306" t="s">
        <v>3050</v>
      </c>
      <c r="G824" s="306"/>
      <c r="H824" s="306" t="s">
        <v>3051</v>
      </c>
      <c r="I824" s="306" t="s">
        <v>3052</v>
      </c>
      <c r="J824" s="304"/>
      <c r="K824" s="304" t="s">
        <v>88</v>
      </c>
      <c r="L824" s="304" t="s">
        <v>3046</v>
      </c>
      <c r="M824" s="306"/>
      <c r="N824" s="304" t="s">
        <v>96</v>
      </c>
      <c r="O824" s="306" t="s">
        <v>71</v>
      </c>
      <c r="P824" s="304">
        <v>1</v>
      </c>
      <c r="Q824" s="304">
        <v>1</v>
      </c>
      <c r="R824" s="304">
        <v>1</v>
      </c>
      <c r="S824" s="308">
        <v>1</v>
      </c>
    </row>
    <row r="825" spans="1:19" ht="168">
      <c r="A825" s="303">
        <v>820</v>
      </c>
      <c r="B825" s="304">
        <v>1384</v>
      </c>
      <c r="C825" s="305" t="s">
        <v>102</v>
      </c>
      <c r="D825" s="306" t="s">
        <v>3042</v>
      </c>
      <c r="E825" s="304">
        <v>4</v>
      </c>
      <c r="F825" s="306" t="s">
        <v>3050</v>
      </c>
      <c r="G825" s="306"/>
      <c r="H825" s="306" t="s">
        <v>3053</v>
      </c>
      <c r="I825" s="306" t="s">
        <v>3054</v>
      </c>
      <c r="J825" s="304"/>
      <c r="K825" s="304" t="s">
        <v>88</v>
      </c>
      <c r="L825" s="304" t="s">
        <v>3046</v>
      </c>
      <c r="M825" s="306"/>
      <c r="N825" s="304" t="s">
        <v>96</v>
      </c>
      <c r="O825" s="306" t="s">
        <v>24</v>
      </c>
      <c r="P825" s="304">
        <v>1</v>
      </c>
      <c r="Q825" s="304">
        <v>1</v>
      </c>
      <c r="R825" s="304">
        <v>1</v>
      </c>
      <c r="S825" s="308">
        <v>1</v>
      </c>
    </row>
    <row r="826" spans="1:19" ht="273">
      <c r="A826" s="303">
        <v>821</v>
      </c>
      <c r="B826" s="304">
        <v>1385</v>
      </c>
      <c r="C826" s="305" t="s">
        <v>102</v>
      </c>
      <c r="D826" s="306" t="s">
        <v>3042</v>
      </c>
      <c r="E826" s="304">
        <v>4</v>
      </c>
      <c r="F826" s="306" t="s">
        <v>3050</v>
      </c>
      <c r="G826" s="306"/>
      <c r="H826" s="306" t="s">
        <v>3055</v>
      </c>
      <c r="I826" s="306" t="s">
        <v>3056</v>
      </c>
      <c r="J826" s="304"/>
      <c r="K826" s="304" t="s">
        <v>88</v>
      </c>
      <c r="L826" s="304" t="s">
        <v>3046</v>
      </c>
      <c r="M826" s="306"/>
      <c r="N826" s="304" t="s">
        <v>96</v>
      </c>
      <c r="O826" s="306" t="s">
        <v>71</v>
      </c>
      <c r="P826" s="304">
        <v>1</v>
      </c>
      <c r="Q826" s="304">
        <v>1</v>
      </c>
      <c r="R826" s="304">
        <v>1</v>
      </c>
      <c r="S826" s="308">
        <v>1</v>
      </c>
    </row>
    <row r="827" spans="1:19" ht="284">
      <c r="A827" s="303">
        <v>822</v>
      </c>
      <c r="B827" s="304">
        <v>1386</v>
      </c>
      <c r="C827" s="305" t="s">
        <v>102</v>
      </c>
      <c r="D827" s="306" t="s">
        <v>3042</v>
      </c>
      <c r="E827" s="304">
        <v>5</v>
      </c>
      <c r="F827" s="306" t="s">
        <v>3057</v>
      </c>
      <c r="G827" s="306"/>
      <c r="H827" s="306" t="s">
        <v>3058</v>
      </c>
      <c r="I827" s="306" t="s">
        <v>3059</v>
      </c>
      <c r="J827" s="304"/>
      <c r="K827" s="304" t="s">
        <v>88</v>
      </c>
      <c r="L827" s="304" t="s">
        <v>3046</v>
      </c>
      <c r="M827" s="306"/>
      <c r="N827" s="304" t="s">
        <v>96</v>
      </c>
      <c r="O827" s="306" t="s">
        <v>71</v>
      </c>
      <c r="P827" s="304">
        <v>1</v>
      </c>
      <c r="Q827" s="304">
        <v>1</v>
      </c>
      <c r="R827" s="304">
        <v>1</v>
      </c>
      <c r="S827" s="308">
        <v>1</v>
      </c>
    </row>
    <row r="828" spans="1:19" ht="409.6">
      <c r="A828" s="303">
        <v>823</v>
      </c>
      <c r="B828" s="304">
        <v>1387</v>
      </c>
      <c r="C828" s="305" t="s">
        <v>102</v>
      </c>
      <c r="D828" s="306" t="s">
        <v>3042</v>
      </c>
      <c r="E828" s="304">
        <v>5</v>
      </c>
      <c r="F828" s="306" t="s">
        <v>3057</v>
      </c>
      <c r="G828" s="306"/>
      <c r="H828" s="306" t="s">
        <v>3060</v>
      </c>
      <c r="I828" s="306" t="s">
        <v>3061</v>
      </c>
      <c r="J828" s="304"/>
      <c r="K828" s="304" t="s">
        <v>88</v>
      </c>
      <c r="L828" s="304" t="s">
        <v>3046</v>
      </c>
      <c r="M828" s="306"/>
      <c r="N828" s="304" t="s">
        <v>96</v>
      </c>
      <c r="O828" s="306" t="s">
        <v>71</v>
      </c>
      <c r="P828" s="304">
        <v>1</v>
      </c>
      <c r="Q828" s="304">
        <v>1</v>
      </c>
      <c r="R828" s="304">
        <v>1</v>
      </c>
      <c r="S828" s="308">
        <v>1</v>
      </c>
    </row>
    <row r="829" spans="1:19" ht="72">
      <c r="A829" s="303">
        <v>824</v>
      </c>
      <c r="B829" s="304">
        <v>1388</v>
      </c>
      <c r="C829" s="305" t="s">
        <v>102</v>
      </c>
      <c r="D829" s="306" t="s">
        <v>3042</v>
      </c>
      <c r="E829" s="304">
        <v>5</v>
      </c>
      <c r="F829" s="306" t="s">
        <v>3057</v>
      </c>
      <c r="G829" s="306"/>
      <c r="H829" s="306" t="s">
        <v>3010</v>
      </c>
      <c r="I829" s="306" t="s">
        <v>3062</v>
      </c>
      <c r="J829" s="304"/>
      <c r="K829" s="304" t="s">
        <v>88</v>
      </c>
      <c r="L829" s="304" t="s">
        <v>3046</v>
      </c>
      <c r="M829" s="306"/>
      <c r="N829" s="304" t="s">
        <v>96</v>
      </c>
      <c r="O829" s="306" t="s">
        <v>71</v>
      </c>
      <c r="P829" s="304">
        <v>1</v>
      </c>
      <c r="Q829" s="304">
        <v>1</v>
      </c>
      <c r="R829" s="304">
        <v>1</v>
      </c>
      <c r="S829" s="308">
        <v>1</v>
      </c>
    </row>
    <row r="830" spans="1:19" ht="409.6">
      <c r="A830" s="303">
        <v>825</v>
      </c>
      <c r="B830" s="304">
        <v>1389</v>
      </c>
      <c r="C830" s="305" t="s">
        <v>102</v>
      </c>
      <c r="D830" s="306" t="s">
        <v>3042</v>
      </c>
      <c r="E830" s="304">
        <v>5</v>
      </c>
      <c r="F830" s="306" t="s">
        <v>3057</v>
      </c>
      <c r="G830" s="306"/>
      <c r="H830" s="306" t="s">
        <v>3063</v>
      </c>
      <c r="I830" s="306" t="s">
        <v>3064</v>
      </c>
      <c r="J830" s="304"/>
      <c r="K830" s="304" t="s">
        <v>88</v>
      </c>
      <c r="L830" s="304" t="s">
        <v>3046</v>
      </c>
      <c r="M830" s="306"/>
      <c r="N830" s="304" t="s">
        <v>96</v>
      </c>
      <c r="O830" s="306" t="s">
        <v>71</v>
      </c>
      <c r="P830" s="304">
        <v>1</v>
      </c>
      <c r="Q830" s="304">
        <v>1</v>
      </c>
      <c r="R830" s="304">
        <v>1</v>
      </c>
      <c r="S830" s="308">
        <v>1</v>
      </c>
    </row>
    <row r="831" spans="1:19" ht="383">
      <c r="A831" s="303">
        <v>826</v>
      </c>
      <c r="B831" s="304">
        <v>1390</v>
      </c>
      <c r="C831" s="305" t="s">
        <v>101</v>
      </c>
      <c r="D831" s="306" t="s">
        <v>3065</v>
      </c>
      <c r="E831" s="304">
        <v>1</v>
      </c>
      <c r="F831" s="306" t="s">
        <v>3066</v>
      </c>
      <c r="G831" s="306"/>
      <c r="H831" s="306" t="s">
        <v>3067</v>
      </c>
      <c r="I831" s="306" t="s">
        <v>3068</v>
      </c>
      <c r="J831" s="304"/>
      <c r="K831" s="304" t="s">
        <v>3069</v>
      </c>
      <c r="L831" s="304" t="s">
        <v>2980</v>
      </c>
      <c r="M831" s="306"/>
      <c r="N831" s="304" t="s">
        <v>96</v>
      </c>
      <c r="O831" s="306" t="s">
        <v>18</v>
      </c>
      <c r="P831" s="304">
        <v>0</v>
      </c>
      <c r="Q831" s="304">
        <v>0</v>
      </c>
      <c r="R831" s="304">
        <v>1</v>
      </c>
      <c r="S831" s="308">
        <v>0</v>
      </c>
    </row>
    <row r="832" spans="1:19" ht="180">
      <c r="A832" s="303">
        <v>827</v>
      </c>
      <c r="B832" s="304">
        <v>1391</v>
      </c>
      <c r="C832" s="305" t="s">
        <v>101</v>
      </c>
      <c r="D832" s="306" t="s">
        <v>3065</v>
      </c>
      <c r="E832" s="304">
        <v>1</v>
      </c>
      <c r="F832" s="306" t="s">
        <v>3066</v>
      </c>
      <c r="G832" s="306"/>
      <c r="H832" s="306" t="s">
        <v>3070</v>
      </c>
      <c r="I832" s="306" t="s">
        <v>3071</v>
      </c>
      <c r="J832" s="304"/>
      <c r="K832" s="304" t="s">
        <v>3069</v>
      </c>
      <c r="L832" s="304" t="s">
        <v>2980</v>
      </c>
      <c r="M832" s="306"/>
      <c r="N832" s="304" t="s">
        <v>96</v>
      </c>
      <c r="O832" s="306" t="s">
        <v>18</v>
      </c>
      <c r="P832" s="304">
        <v>0</v>
      </c>
      <c r="Q832" s="304">
        <v>0</v>
      </c>
      <c r="R832" s="304">
        <v>1</v>
      </c>
      <c r="S832" s="308">
        <v>0</v>
      </c>
    </row>
    <row r="833" spans="1:19" ht="96">
      <c r="A833" s="303">
        <v>828</v>
      </c>
      <c r="B833" s="304">
        <v>1392</v>
      </c>
      <c r="C833" s="305" t="s">
        <v>101</v>
      </c>
      <c r="D833" s="306" t="s">
        <v>3065</v>
      </c>
      <c r="E833" s="304">
        <v>1</v>
      </c>
      <c r="F833" s="306" t="s">
        <v>3066</v>
      </c>
      <c r="G833" s="306"/>
      <c r="H833" s="306" t="s">
        <v>3072</v>
      </c>
      <c r="I833" s="306" t="s">
        <v>3073</v>
      </c>
      <c r="J833" s="304"/>
      <c r="K833" s="304" t="s">
        <v>3069</v>
      </c>
      <c r="L833" s="304" t="s">
        <v>2980</v>
      </c>
      <c r="M833" s="306"/>
      <c r="N833" s="304" t="s">
        <v>96</v>
      </c>
      <c r="O833" s="306" t="s">
        <v>24</v>
      </c>
      <c r="P833" s="304">
        <v>0</v>
      </c>
      <c r="Q833" s="304">
        <v>0</v>
      </c>
      <c r="R833" s="304">
        <v>1</v>
      </c>
      <c r="S833" s="308">
        <v>0</v>
      </c>
    </row>
    <row r="834" spans="1:19" ht="180">
      <c r="A834" s="303">
        <v>829</v>
      </c>
      <c r="B834" s="304">
        <v>1393</v>
      </c>
      <c r="C834" s="305" t="s">
        <v>101</v>
      </c>
      <c r="D834" s="306" t="s">
        <v>3065</v>
      </c>
      <c r="E834" s="304">
        <v>1</v>
      </c>
      <c r="F834" s="306" t="s">
        <v>3066</v>
      </c>
      <c r="G834" s="306"/>
      <c r="H834" s="306" t="s">
        <v>3074</v>
      </c>
      <c r="I834" s="306" t="s">
        <v>3075</v>
      </c>
      <c r="J834" s="304"/>
      <c r="K834" s="304" t="s">
        <v>3069</v>
      </c>
      <c r="L834" s="304" t="s">
        <v>2980</v>
      </c>
      <c r="M834" s="306"/>
      <c r="N834" s="304" t="s">
        <v>96</v>
      </c>
      <c r="O834" s="306" t="s">
        <v>18</v>
      </c>
      <c r="P834" s="304">
        <v>0</v>
      </c>
      <c r="Q834" s="304">
        <v>0</v>
      </c>
      <c r="R834" s="304">
        <v>1</v>
      </c>
      <c r="S834" s="308">
        <v>0</v>
      </c>
    </row>
    <row r="835" spans="1:19" ht="96">
      <c r="A835" s="303">
        <v>830</v>
      </c>
      <c r="B835" s="304">
        <v>1394</v>
      </c>
      <c r="C835" s="305" t="s">
        <v>101</v>
      </c>
      <c r="D835" s="306" t="s">
        <v>3065</v>
      </c>
      <c r="E835" s="304">
        <v>1</v>
      </c>
      <c r="F835" s="306" t="s">
        <v>3066</v>
      </c>
      <c r="G835" s="306"/>
      <c r="H835" s="306" t="s">
        <v>3076</v>
      </c>
      <c r="I835" s="306" t="s">
        <v>3077</v>
      </c>
      <c r="J835" s="304"/>
      <c r="K835" s="304" t="s">
        <v>3069</v>
      </c>
      <c r="L835" s="304" t="s">
        <v>2980</v>
      </c>
      <c r="M835" s="306"/>
      <c r="N835" s="304" t="s">
        <v>96</v>
      </c>
      <c r="O835" s="306" t="s">
        <v>24</v>
      </c>
      <c r="P835" s="304">
        <v>0</v>
      </c>
      <c r="Q835" s="304">
        <v>0</v>
      </c>
      <c r="R835" s="304">
        <v>1</v>
      </c>
      <c r="S835" s="308">
        <v>0</v>
      </c>
    </row>
    <row r="836" spans="1:19" ht="120">
      <c r="A836" s="303">
        <v>831</v>
      </c>
      <c r="B836" s="304">
        <v>1395</v>
      </c>
      <c r="C836" s="305" t="s">
        <v>101</v>
      </c>
      <c r="D836" s="306" t="s">
        <v>3065</v>
      </c>
      <c r="E836" s="304">
        <v>1</v>
      </c>
      <c r="F836" s="306" t="s">
        <v>3066</v>
      </c>
      <c r="G836" s="306"/>
      <c r="H836" s="306" t="s">
        <v>3078</v>
      </c>
      <c r="I836" s="306" t="s">
        <v>3079</v>
      </c>
      <c r="J836" s="304"/>
      <c r="K836" s="304" t="s">
        <v>3069</v>
      </c>
      <c r="L836" s="304" t="s">
        <v>2980</v>
      </c>
      <c r="M836" s="306"/>
      <c r="N836" s="304" t="s">
        <v>96</v>
      </c>
      <c r="O836" s="306" t="s">
        <v>24</v>
      </c>
      <c r="P836" s="304">
        <v>0</v>
      </c>
      <c r="Q836" s="304">
        <v>0</v>
      </c>
      <c r="R836" s="304">
        <v>1</v>
      </c>
      <c r="S836" s="308">
        <v>0</v>
      </c>
    </row>
    <row r="837" spans="1:19" ht="180">
      <c r="A837" s="303">
        <v>832</v>
      </c>
      <c r="B837" s="304">
        <v>1396</v>
      </c>
      <c r="C837" s="305" t="s">
        <v>101</v>
      </c>
      <c r="D837" s="306" t="s">
        <v>3065</v>
      </c>
      <c r="E837" s="304">
        <v>1</v>
      </c>
      <c r="F837" s="306" t="s">
        <v>3066</v>
      </c>
      <c r="G837" s="306"/>
      <c r="H837" s="306" t="s">
        <v>3080</v>
      </c>
      <c r="I837" s="306" t="s">
        <v>3081</v>
      </c>
      <c r="J837" s="304"/>
      <c r="K837" s="304" t="s">
        <v>3069</v>
      </c>
      <c r="L837" s="304" t="s">
        <v>2980</v>
      </c>
      <c r="M837" s="306"/>
      <c r="N837" s="304" t="s">
        <v>96</v>
      </c>
      <c r="O837" s="306" t="s">
        <v>18</v>
      </c>
      <c r="P837" s="304">
        <v>0</v>
      </c>
      <c r="Q837" s="304">
        <v>0</v>
      </c>
      <c r="R837" s="304">
        <v>1</v>
      </c>
      <c r="S837" s="308">
        <v>0</v>
      </c>
    </row>
    <row r="838" spans="1:19" ht="96">
      <c r="A838" s="303">
        <v>833</v>
      </c>
      <c r="B838" s="304">
        <v>1397</v>
      </c>
      <c r="C838" s="305" t="s">
        <v>101</v>
      </c>
      <c r="D838" s="306" t="s">
        <v>3065</v>
      </c>
      <c r="E838" s="304">
        <v>1</v>
      </c>
      <c r="F838" s="306" t="s">
        <v>3066</v>
      </c>
      <c r="G838" s="306"/>
      <c r="H838" s="306" t="s">
        <v>3082</v>
      </c>
      <c r="I838" s="306" t="s">
        <v>3083</v>
      </c>
      <c r="J838" s="304"/>
      <c r="K838" s="304" t="s">
        <v>3069</v>
      </c>
      <c r="L838" s="304" t="s">
        <v>2980</v>
      </c>
      <c r="M838" s="306"/>
      <c r="N838" s="304" t="s">
        <v>96</v>
      </c>
      <c r="O838" s="306" t="s">
        <v>24</v>
      </c>
      <c r="P838" s="304">
        <v>0</v>
      </c>
      <c r="Q838" s="304">
        <v>0</v>
      </c>
      <c r="R838" s="304">
        <v>1</v>
      </c>
      <c r="S838" s="308">
        <v>0</v>
      </c>
    </row>
    <row r="839" spans="1:19" ht="96">
      <c r="A839" s="303">
        <v>834</v>
      </c>
      <c r="B839" s="304">
        <v>1398</v>
      </c>
      <c r="C839" s="305" t="s">
        <v>101</v>
      </c>
      <c r="D839" s="306" t="s">
        <v>3065</v>
      </c>
      <c r="E839" s="304">
        <v>1</v>
      </c>
      <c r="F839" s="306" t="s">
        <v>3066</v>
      </c>
      <c r="G839" s="306"/>
      <c r="H839" s="306" t="s">
        <v>3084</v>
      </c>
      <c r="I839" s="306" t="s">
        <v>3085</v>
      </c>
      <c r="J839" s="304"/>
      <c r="K839" s="304" t="s">
        <v>3069</v>
      </c>
      <c r="L839" s="304" t="s">
        <v>2980</v>
      </c>
      <c r="M839" s="306"/>
      <c r="N839" s="304" t="s">
        <v>96</v>
      </c>
      <c r="O839" s="306" t="s">
        <v>24</v>
      </c>
      <c r="P839" s="304">
        <v>0</v>
      </c>
      <c r="Q839" s="304">
        <v>0</v>
      </c>
      <c r="R839" s="304">
        <v>1</v>
      </c>
      <c r="S839" s="308">
        <v>0</v>
      </c>
    </row>
    <row r="840" spans="1:19" ht="180">
      <c r="A840" s="303">
        <v>835</v>
      </c>
      <c r="B840" s="304">
        <v>1399</v>
      </c>
      <c r="C840" s="305" t="s">
        <v>101</v>
      </c>
      <c r="D840" s="306" t="s">
        <v>3065</v>
      </c>
      <c r="E840" s="304">
        <v>1</v>
      </c>
      <c r="F840" s="306" t="s">
        <v>3066</v>
      </c>
      <c r="G840" s="306"/>
      <c r="H840" s="306" t="s">
        <v>3086</v>
      </c>
      <c r="I840" s="306" t="s">
        <v>3087</v>
      </c>
      <c r="J840" s="304"/>
      <c r="K840" s="304" t="s">
        <v>3069</v>
      </c>
      <c r="L840" s="304" t="s">
        <v>2980</v>
      </c>
      <c r="M840" s="306"/>
      <c r="N840" s="304" t="s">
        <v>96</v>
      </c>
      <c r="O840" s="306" t="s">
        <v>18</v>
      </c>
      <c r="P840" s="304">
        <v>0</v>
      </c>
      <c r="Q840" s="304">
        <v>0</v>
      </c>
      <c r="R840" s="304">
        <v>1</v>
      </c>
      <c r="S840" s="308">
        <v>0</v>
      </c>
    </row>
    <row r="841" spans="1:19" ht="180">
      <c r="A841" s="303">
        <v>836</v>
      </c>
      <c r="B841" s="304">
        <v>1400</v>
      </c>
      <c r="C841" s="305" t="s">
        <v>101</v>
      </c>
      <c r="D841" s="306" t="s">
        <v>3065</v>
      </c>
      <c r="E841" s="304">
        <v>1</v>
      </c>
      <c r="F841" s="306" t="s">
        <v>3066</v>
      </c>
      <c r="G841" s="306"/>
      <c r="H841" s="306" t="s">
        <v>3088</v>
      </c>
      <c r="I841" s="306" t="s">
        <v>3089</v>
      </c>
      <c r="J841" s="304"/>
      <c r="K841" s="304" t="s">
        <v>3069</v>
      </c>
      <c r="L841" s="304" t="s">
        <v>2980</v>
      </c>
      <c r="M841" s="306"/>
      <c r="N841" s="304" t="s">
        <v>96</v>
      </c>
      <c r="O841" s="306" t="s">
        <v>18</v>
      </c>
      <c r="P841" s="304">
        <v>0</v>
      </c>
      <c r="Q841" s="304">
        <v>0</v>
      </c>
      <c r="R841" s="304">
        <v>1</v>
      </c>
      <c r="S841" s="308">
        <v>0</v>
      </c>
    </row>
    <row r="842" spans="1:19" ht="180">
      <c r="A842" s="303">
        <v>837</v>
      </c>
      <c r="B842" s="304">
        <v>1401</v>
      </c>
      <c r="C842" s="305" t="s">
        <v>101</v>
      </c>
      <c r="D842" s="306" t="s">
        <v>3065</v>
      </c>
      <c r="E842" s="304">
        <v>1</v>
      </c>
      <c r="F842" s="306" t="s">
        <v>3066</v>
      </c>
      <c r="G842" s="306"/>
      <c r="H842" s="306" t="s">
        <v>3090</v>
      </c>
      <c r="I842" s="306" t="s">
        <v>3091</v>
      </c>
      <c r="J842" s="304"/>
      <c r="K842" s="304" t="s">
        <v>3069</v>
      </c>
      <c r="L842" s="304" t="s">
        <v>2980</v>
      </c>
      <c r="M842" s="306"/>
      <c r="N842" s="304" t="s">
        <v>96</v>
      </c>
      <c r="O842" s="306" t="s">
        <v>18</v>
      </c>
      <c r="P842" s="304">
        <v>0</v>
      </c>
      <c r="Q842" s="304">
        <v>0</v>
      </c>
      <c r="R842" s="304">
        <v>1</v>
      </c>
      <c r="S842" s="308">
        <v>0</v>
      </c>
    </row>
    <row r="843" spans="1:19" ht="96">
      <c r="A843" s="303">
        <v>838</v>
      </c>
      <c r="B843" s="304">
        <v>1402</v>
      </c>
      <c r="C843" s="305" t="s">
        <v>101</v>
      </c>
      <c r="D843" s="306" t="s">
        <v>3065</v>
      </c>
      <c r="E843" s="304">
        <v>1</v>
      </c>
      <c r="F843" s="306" t="s">
        <v>3066</v>
      </c>
      <c r="G843" s="306"/>
      <c r="H843" s="306" t="s">
        <v>3092</v>
      </c>
      <c r="I843" s="306" t="s">
        <v>3093</v>
      </c>
      <c r="J843" s="304"/>
      <c r="K843" s="304" t="s">
        <v>3069</v>
      </c>
      <c r="L843" s="304" t="s">
        <v>2980</v>
      </c>
      <c r="M843" s="306"/>
      <c r="N843" s="304" t="s">
        <v>96</v>
      </c>
      <c r="O843" s="306" t="s">
        <v>24</v>
      </c>
      <c r="P843" s="304">
        <v>0</v>
      </c>
      <c r="Q843" s="304">
        <v>0</v>
      </c>
      <c r="R843" s="304">
        <v>1</v>
      </c>
      <c r="S843" s="308">
        <v>0</v>
      </c>
    </row>
    <row r="844" spans="1:19" ht="180">
      <c r="A844" s="303">
        <v>839</v>
      </c>
      <c r="B844" s="304">
        <v>1403</v>
      </c>
      <c r="C844" s="305" t="s">
        <v>101</v>
      </c>
      <c r="D844" s="306" t="s">
        <v>3065</v>
      </c>
      <c r="E844" s="304">
        <v>1</v>
      </c>
      <c r="F844" s="306" t="s">
        <v>3066</v>
      </c>
      <c r="G844" s="306"/>
      <c r="H844" s="306" t="s">
        <v>3094</v>
      </c>
      <c r="I844" s="306" t="s">
        <v>3095</v>
      </c>
      <c r="J844" s="304"/>
      <c r="K844" s="304" t="s">
        <v>3069</v>
      </c>
      <c r="L844" s="304" t="s">
        <v>3096</v>
      </c>
      <c r="M844" s="306"/>
      <c r="N844" s="304" t="s">
        <v>96</v>
      </c>
      <c r="O844" s="306" t="s">
        <v>18</v>
      </c>
      <c r="P844" s="304">
        <v>0</v>
      </c>
      <c r="Q844" s="304">
        <v>0</v>
      </c>
      <c r="R844" s="304">
        <v>1</v>
      </c>
      <c r="S844" s="308">
        <v>0</v>
      </c>
    </row>
    <row r="845" spans="1:19" ht="409.6">
      <c r="A845" s="303">
        <v>840</v>
      </c>
      <c r="B845" s="304">
        <v>1404</v>
      </c>
      <c r="C845" s="305" t="s">
        <v>101</v>
      </c>
      <c r="D845" s="306" t="s">
        <v>3065</v>
      </c>
      <c r="E845" s="304">
        <v>1</v>
      </c>
      <c r="F845" s="306" t="s">
        <v>3066</v>
      </c>
      <c r="G845" s="306"/>
      <c r="H845" s="306" t="s">
        <v>3097</v>
      </c>
      <c r="I845" s="306" t="s">
        <v>3098</v>
      </c>
      <c r="J845" s="304"/>
      <c r="K845" s="304" t="s">
        <v>3069</v>
      </c>
      <c r="L845" s="304" t="s">
        <v>2980</v>
      </c>
      <c r="M845" s="306"/>
      <c r="N845" s="304" t="s">
        <v>96</v>
      </c>
      <c r="O845" s="306" t="s">
        <v>18</v>
      </c>
      <c r="P845" s="304">
        <v>0</v>
      </c>
      <c r="Q845" s="304">
        <v>0</v>
      </c>
      <c r="R845" s="304">
        <v>1</v>
      </c>
      <c r="S845" s="308">
        <v>0</v>
      </c>
    </row>
    <row r="846" spans="1:19" ht="180">
      <c r="A846" s="303">
        <v>841</v>
      </c>
      <c r="B846" s="304">
        <v>1405</v>
      </c>
      <c r="C846" s="305" t="s">
        <v>101</v>
      </c>
      <c r="D846" s="306" t="s">
        <v>3065</v>
      </c>
      <c r="E846" s="304">
        <v>1</v>
      </c>
      <c r="F846" s="306" t="s">
        <v>3066</v>
      </c>
      <c r="G846" s="306"/>
      <c r="H846" s="306" t="s">
        <v>3099</v>
      </c>
      <c r="I846" s="306" t="s">
        <v>3100</v>
      </c>
      <c r="J846" s="304"/>
      <c r="K846" s="304" t="s">
        <v>3069</v>
      </c>
      <c r="L846" s="304" t="s">
        <v>2980</v>
      </c>
      <c r="M846" s="306"/>
      <c r="N846" s="304" t="s">
        <v>96</v>
      </c>
      <c r="O846" s="306" t="s">
        <v>18</v>
      </c>
      <c r="P846" s="304">
        <v>0</v>
      </c>
      <c r="Q846" s="304">
        <v>0</v>
      </c>
      <c r="R846" s="304">
        <v>1</v>
      </c>
      <c r="S846" s="308">
        <v>0</v>
      </c>
    </row>
    <row r="847" spans="1:19" ht="273">
      <c r="A847" s="303">
        <v>842</v>
      </c>
      <c r="B847" s="304">
        <v>1406</v>
      </c>
      <c r="C847" s="305" t="s">
        <v>101</v>
      </c>
      <c r="D847" s="306" t="s">
        <v>3065</v>
      </c>
      <c r="E847" s="304">
        <v>1</v>
      </c>
      <c r="F847" s="306" t="s">
        <v>3066</v>
      </c>
      <c r="G847" s="306"/>
      <c r="H847" s="306" t="s">
        <v>3101</v>
      </c>
      <c r="I847" s="306" t="s">
        <v>3102</v>
      </c>
      <c r="J847" s="304"/>
      <c r="K847" s="304" t="s">
        <v>3069</v>
      </c>
      <c r="L847" s="304" t="s">
        <v>2980</v>
      </c>
      <c r="M847" s="306"/>
      <c r="N847" s="304" t="s">
        <v>96</v>
      </c>
      <c r="O847" s="306" t="s">
        <v>18</v>
      </c>
      <c r="P847" s="304">
        <v>0</v>
      </c>
      <c r="Q847" s="304">
        <v>0</v>
      </c>
      <c r="R847" s="304">
        <v>1</v>
      </c>
      <c r="S847" s="308">
        <v>0</v>
      </c>
    </row>
    <row r="848" spans="1:19" ht="216">
      <c r="A848" s="303">
        <v>843</v>
      </c>
      <c r="B848" s="304">
        <v>1407</v>
      </c>
      <c r="C848" s="305" t="s">
        <v>101</v>
      </c>
      <c r="D848" s="306" t="s">
        <v>3065</v>
      </c>
      <c r="E848" s="304">
        <v>1</v>
      </c>
      <c r="F848" s="306" t="s">
        <v>3066</v>
      </c>
      <c r="G848" s="306"/>
      <c r="H848" s="306" t="s">
        <v>3103</v>
      </c>
      <c r="I848" s="306" t="s">
        <v>3104</v>
      </c>
      <c r="J848" s="304"/>
      <c r="K848" s="304" t="s">
        <v>3069</v>
      </c>
      <c r="L848" s="304" t="s">
        <v>2980</v>
      </c>
      <c r="M848" s="306"/>
      <c r="N848" s="304" t="s">
        <v>96</v>
      </c>
      <c r="O848" s="306" t="s">
        <v>24</v>
      </c>
      <c r="P848" s="304">
        <v>0</v>
      </c>
      <c r="Q848" s="304">
        <v>0</v>
      </c>
      <c r="R848" s="304">
        <v>1</v>
      </c>
      <c r="S848" s="308">
        <v>0</v>
      </c>
    </row>
    <row r="849" spans="1:19" ht="180">
      <c r="A849" s="303">
        <v>844</v>
      </c>
      <c r="B849" s="304">
        <v>1408</v>
      </c>
      <c r="C849" s="305" t="s">
        <v>101</v>
      </c>
      <c r="D849" s="306" t="s">
        <v>3065</v>
      </c>
      <c r="E849" s="304">
        <v>1</v>
      </c>
      <c r="F849" s="306" t="s">
        <v>3066</v>
      </c>
      <c r="G849" s="306"/>
      <c r="H849" s="306" t="s">
        <v>3105</v>
      </c>
      <c r="I849" s="306" t="s">
        <v>3106</v>
      </c>
      <c r="J849" s="304"/>
      <c r="K849" s="304" t="s">
        <v>3069</v>
      </c>
      <c r="L849" s="304" t="s">
        <v>2980</v>
      </c>
      <c r="M849" s="306"/>
      <c r="N849" s="304" t="s">
        <v>96</v>
      </c>
      <c r="O849" s="306" t="s">
        <v>18</v>
      </c>
      <c r="P849" s="304">
        <v>0</v>
      </c>
      <c r="Q849" s="304">
        <v>0</v>
      </c>
      <c r="R849" s="304">
        <v>1</v>
      </c>
      <c r="S849" s="308">
        <v>0</v>
      </c>
    </row>
    <row r="850" spans="1:19" ht="180">
      <c r="A850" s="303">
        <v>845</v>
      </c>
      <c r="B850" s="304">
        <v>1409</v>
      </c>
      <c r="C850" s="305" t="s">
        <v>101</v>
      </c>
      <c r="D850" s="306" t="s">
        <v>3065</v>
      </c>
      <c r="E850" s="304">
        <v>1</v>
      </c>
      <c r="F850" s="306" t="s">
        <v>3066</v>
      </c>
      <c r="G850" s="306"/>
      <c r="H850" s="306" t="s">
        <v>3107</v>
      </c>
      <c r="I850" s="306" t="s">
        <v>3108</v>
      </c>
      <c r="J850" s="304"/>
      <c r="K850" s="304" t="s">
        <v>3109</v>
      </c>
      <c r="L850" s="304" t="s">
        <v>2980</v>
      </c>
      <c r="M850" s="306"/>
      <c r="N850" s="304" t="s">
        <v>96</v>
      </c>
      <c r="O850" s="306" t="s">
        <v>18</v>
      </c>
      <c r="P850" s="304">
        <v>0</v>
      </c>
      <c r="Q850" s="304">
        <v>0</v>
      </c>
      <c r="R850" s="304">
        <v>1</v>
      </c>
      <c r="S850" s="308">
        <v>0</v>
      </c>
    </row>
    <row r="851" spans="1:19" ht="180">
      <c r="A851" s="303">
        <v>846</v>
      </c>
      <c r="B851" s="304">
        <v>1410</v>
      </c>
      <c r="C851" s="305" t="s">
        <v>101</v>
      </c>
      <c r="D851" s="306" t="s">
        <v>3065</v>
      </c>
      <c r="E851" s="304">
        <v>1</v>
      </c>
      <c r="F851" s="306" t="s">
        <v>3066</v>
      </c>
      <c r="G851" s="306"/>
      <c r="H851" s="306" t="s">
        <v>3110</v>
      </c>
      <c r="I851" s="306" t="s">
        <v>3111</v>
      </c>
      <c r="J851" s="304"/>
      <c r="K851" s="304" t="s">
        <v>3069</v>
      </c>
      <c r="L851" s="304" t="s">
        <v>2980</v>
      </c>
      <c r="M851" s="306"/>
      <c r="N851" s="304" t="s">
        <v>96</v>
      </c>
      <c r="O851" s="306" t="s">
        <v>18</v>
      </c>
      <c r="P851" s="304">
        <v>0</v>
      </c>
      <c r="Q851" s="304">
        <v>0</v>
      </c>
      <c r="R851" s="304">
        <v>1</v>
      </c>
      <c r="S851" s="308">
        <v>0</v>
      </c>
    </row>
    <row r="852" spans="1:19" ht="180">
      <c r="A852" s="303">
        <v>847</v>
      </c>
      <c r="B852" s="304">
        <v>1411</v>
      </c>
      <c r="C852" s="305" t="s">
        <v>101</v>
      </c>
      <c r="D852" s="306" t="s">
        <v>3065</v>
      </c>
      <c r="E852" s="304">
        <v>1</v>
      </c>
      <c r="F852" s="306" t="s">
        <v>3066</v>
      </c>
      <c r="G852" s="306"/>
      <c r="H852" s="306" t="s">
        <v>3112</v>
      </c>
      <c r="I852" s="306" t="s">
        <v>3113</v>
      </c>
      <c r="J852" s="304"/>
      <c r="K852" s="304" t="s">
        <v>3114</v>
      </c>
      <c r="L852" s="304" t="s">
        <v>2980</v>
      </c>
      <c r="M852" s="306"/>
      <c r="N852" s="304" t="s">
        <v>96</v>
      </c>
      <c r="O852" s="306" t="s">
        <v>18</v>
      </c>
      <c r="P852" s="304">
        <v>0</v>
      </c>
      <c r="Q852" s="304">
        <v>0</v>
      </c>
      <c r="R852" s="304">
        <v>1</v>
      </c>
      <c r="S852" s="308">
        <v>0</v>
      </c>
    </row>
    <row r="853" spans="1:19" ht="180">
      <c r="A853" s="303">
        <v>848</v>
      </c>
      <c r="B853" s="304">
        <v>1412</v>
      </c>
      <c r="C853" s="305" t="s">
        <v>101</v>
      </c>
      <c r="D853" s="306" t="s">
        <v>3065</v>
      </c>
      <c r="E853" s="304">
        <v>1</v>
      </c>
      <c r="F853" s="306" t="s">
        <v>3066</v>
      </c>
      <c r="G853" s="306"/>
      <c r="H853" s="306" t="s">
        <v>3115</v>
      </c>
      <c r="I853" s="306" t="s">
        <v>3116</v>
      </c>
      <c r="J853" s="304"/>
      <c r="K853" s="304" t="s">
        <v>3117</v>
      </c>
      <c r="L853" s="304" t="s">
        <v>2980</v>
      </c>
      <c r="M853" s="306"/>
      <c r="N853" s="304" t="s">
        <v>96</v>
      </c>
      <c r="O853" s="306" t="s">
        <v>18</v>
      </c>
      <c r="P853" s="304">
        <v>0</v>
      </c>
      <c r="Q853" s="304">
        <v>0</v>
      </c>
      <c r="R853" s="304">
        <v>1</v>
      </c>
      <c r="S853" s="308">
        <v>0</v>
      </c>
    </row>
    <row r="854" spans="1:19" ht="96">
      <c r="A854" s="303">
        <v>849</v>
      </c>
      <c r="B854" s="304">
        <v>1413</v>
      </c>
      <c r="C854" s="305" t="s">
        <v>101</v>
      </c>
      <c r="D854" s="306" t="s">
        <v>3065</v>
      </c>
      <c r="E854" s="304">
        <v>2</v>
      </c>
      <c r="F854" s="306" t="s">
        <v>3118</v>
      </c>
      <c r="G854" s="306"/>
      <c r="H854" s="306" t="s">
        <v>3119</v>
      </c>
      <c r="I854" s="306" t="s">
        <v>3120</v>
      </c>
      <c r="J854" s="304"/>
      <c r="K854" s="304" t="s">
        <v>3069</v>
      </c>
      <c r="L854" s="304" t="s">
        <v>2980</v>
      </c>
      <c r="M854" s="306"/>
      <c r="N854" s="304" t="s">
        <v>96</v>
      </c>
      <c r="O854" s="306" t="s">
        <v>24</v>
      </c>
      <c r="P854" s="304">
        <v>0</v>
      </c>
      <c r="Q854" s="304">
        <v>0</v>
      </c>
      <c r="R854" s="304">
        <v>1</v>
      </c>
      <c r="S854" s="308">
        <v>0</v>
      </c>
    </row>
    <row r="855" spans="1:19" ht="84">
      <c r="A855" s="303">
        <v>850</v>
      </c>
      <c r="B855" s="304">
        <v>1414</v>
      </c>
      <c r="C855" s="305" t="s">
        <v>101</v>
      </c>
      <c r="D855" s="306" t="s">
        <v>3065</v>
      </c>
      <c r="E855" s="304">
        <v>2</v>
      </c>
      <c r="F855" s="306" t="s">
        <v>3118</v>
      </c>
      <c r="G855" s="306"/>
      <c r="H855" s="306" t="s">
        <v>3121</v>
      </c>
      <c r="I855" s="306" t="s">
        <v>3122</v>
      </c>
      <c r="J855" s="304"/>
      <c r="K855" s="304" t="s">
        <v>3069</v>
      </c>
      <c r="L855" s="304" t="s">
        <v>2980</v>
      </c>
      <c r="M855" s="306"/>
      <c r="N855" s="304" t="s">
        <v>96</v>
      </c>
      <c r="O855" s="306" t="s">
        <v>71</v>
      </c>
      <c r="P855" s="304">
        <v>0</v>
      </c>
      <c r="Q855" s="304">
        <v>0</v>
      </c>
      <c r="R855" s="304">
        <v>1</v>
      </c>
      <c r="S855" s="308">
        <v>0</v>
      </c>
    </row>
    <row r="856" spans="1:19" ht="168">
      <c r="A856" s="303">
        <v>851</v>
      </c>
      <c r="B856" s="304">
        <v>1415</v>
      </c>
      <c r="C856" s="305" t="s">
        <v>101</v>
      </c>
      <c r="D856" s="306" t="s">
        <v>3065</v>
      </c>
      <c r="E856" s="304">
        <v>2</v>
      </c>
      <c r="F856" s="306" t="s">
        <v>3118</v>
      </c>
      <c r="G856" s="306"/>
      <c r="H856" s="306" t="s">
        <v>3123</v>
      </c>
      <c r="I856" s="306" t="s">
        <v>3124</v>
      </c>
      <c r="J856" s="304"/>
      <c r="K856" s="304" t="s">
        <v>3069</v>
      </c>
      <c r="L856" s="304" t="s">
        <v>2980</v>
      </c>
      <c r="M856" s="306"/>
      <c r="N856" s="304" t="s">
        <v>96</v>
      </c>
      <c r="O856" s="306" t="s">
        <v>71</v>
      </c>
      <c r="P856" s="304">
        <v>0</v>
      </c>
      <c r="Q856" s="304">
        <v>0</v>
      </c>
      <c r="R856" s="304">
        <v>1</v>
      </c>
      <c r="S856" s="308">
        <v>0</v>
      </c>
    </row>
    <row r="857" spans="1:19" ht="120">
      <c r="A857" s="303">
        <v>852</v>
      </c>
      <c r="B857" s="304">
        <v>1416</v>
      </c>
      <c r="C857" s="305" t="s">
        <v>101</v>
      </c>
      <c r="D857" s="306" t="s">
        <v>3065</v>
      </c>
      <c r="E857" s="304">
        <v>2</v>
      </c>
      <c r="F857" s="306" t="s">
        <v>3118</v>
      </c>
      <c r="G857" s="306"/>
      <c r="H857" s="306" t="s">
        <v>3125</v>
      </c>
      <c r="I857" s="306" t="s">
        <v>3126</v>
      </c>
      <c r="J857" s="304"/>
      <c r="K857" s="304" t="s">
        <v>3069</v>
      </c>
      <c r="L857" s="304" t="s">
        <v>2980</v>
      </c>
      <c r="M857" s="306"/>
      <c r="N857" s="304" t="s">
        <v>96</v>
      </c>
      <c r="O857" s="306" t="s">
        <v>24</v>
      </c>
      <c r="P857" s="304">
        <v>0</v>
      </c>
      <c r="Q857" s="304">
        <v>0</v>
      </c>
      <c r="R857" s="304">
        <v>1</v>
      </c>
      <c r="S857" s="308">
        <v>0</v>
      </c>
    </row>
    <row r="858" spans="1:19" ht="84">
      <c r="A858" s="303">
        <v>853</v>
      </c>
      <c r="B858" s="304">
        <v>1417</v>
      </c>
      <c r="C858" s="305" t="s">
        <v>101</v>
      </c>
      <c r="D858" s="306" t="s">
        <v>3065</v>
      </c>
      <c r="E858" s="304">
        <v>3</v>
      </c>
      <c r="F858" s="306" t="s">
        <v>3127</v>
      </c>
      <c r="G858" s="306"/>
      <c r="H858" s="306" t="s">
        <v>3128</v>
      </c>
      <c r="I858" s="306" t="s">
        <v>3129</v>
      </c>
      <c r="J858" s="304"/>
      <c r="K858" s="304" t="s">
        <v>3069</v>
      </c>
      <c r="L858" s="304" t="s">
        <v>2980</v>
      </c>
      <c r="M858" s="306"/>
      <c r="N858" s="304" t="s">
        <v>96</v>
      </c>
      <c r="O858" s="306" t="s">
        <v>21</v>
      </c>
      <c r="P858" s="304">
        <v>0</v>
      </c>
      <c r="Q858" s="304">
        <v>0</v>
      </c>
      <c r="R858" s="304">
        <v>1</v>
      </c>
      <c r="S858" s="308">
        <v>0</v>
      </c>
    </row>
    <row r="859" spans="1:19" ht="84">
      <c r="A859" s="303">
        <v>854</v>
      </c>
      <c r="B859" s="304">
        <v>1418</v>
      </c>
      <c r="C859" s="305" t="s">
        <v>101</v>
      </c>
      <c r="D859" s="306" t="s">
        <v>3065</v>
      </c>
      <c r="E859" s="304">
        <v>3</v>
      </c>
      <c r="F859" s="306" t="s">
        <v>3127</v>
      </c>
      <c r="G859" s="306"/>
      <c r="H859" s="306" t="s">
        <v>3130</v>
      </c>
      <c r="I859" s="306" t="s">
        <v>3131</v>
      </c>
      <c r="J859" s="304"/>
      <c r="K859" s="304" t="s">
        <v>3069</v>
      </c>
      <c r="L859" s="304" t="s">
        <v>2980</v>
      </c>
      <c r="M859" s="306"/>
      <c r="N859" s="304" t="s">
        <v>96</v>
      </c>
      <c r="O859" s="306" t="s">
        <v>21</v>
      </c>
      <c r="P859" s="304">
        <v>0</v>
      </c>
      <c r="Q859" s="304">
        <v>0</v>
      </c>
      <c r="R859" s="304">
        <v>1</v>
      </c>
      <c r="S859" s="308">
        <v>0</v>
      </c>
    </row>
    <row r="860" spans="1:19" ht="273">
      <c r="A860" s="303">
        <v>855</v>
      </c>
      <c r="B860" s="304">
        <v>1419</v>
      </c>
      <c r="C860" s="305" t="s">
        <v>101</v>
      </c>
      <c r="D860" s="306" t="s">
        <v>3065</v>
      </c>
      <c r="E860" s="304">
        <v>3</v>
      </c>
      <c r="F860" s="306" t="s">
        <v>3127</v>
      </c>
      <c r="G860" s="306"/>
      <c r="H860" s="306" t="s">
        <v>3132</v>
      </c>
      <c r="I860" s="306" t="s">
        <v>3133</v>
      </c>
      <c r="J860" s="304"/>
      <c r="K860" s="304" t="s">
        <v>3069</v>
      </c>
      <c r="L860" s="304" t="s">
        <v>2980</v>
      </c>
      <c r="M860" s="306"/>
      <c r="N860" s="304" t="s">
        <v>96</v>
      </c>
      <c r="O860" s="306" t="s">
        <v>18</v>
      </c>
      <c r="P860" s="304">
        <v>0</v>
      </c>
      <c r="Q860" s="304">
        <v>0</v>
      </c>
      <c r="R860" s="304">
        <v>1</v>
      </c>
      <c r="S860" s="308">
        <v>0</v>
      </c>
    </row>
    <row r="861" spans="1:19" ht="84">
      <c r="A861" s="303">
        <v>856</v>
      </c>
      <c r="B861" s="304">
        <v>1420</v>
      </c>
      <c r="C861" s="305" t="s">
        <v>101</v>
      </c>
      <c r="D861" s="306" t="s">
        <v>3065</v>
      </c>
      <c r="E861" s="304">
        <v>3</v>
      </c>
      <c r="F861" s="306" t="s">
        <v>3127</v>
      </c>
      <c r="G861" s="306"/>
      <c r="H861" s="306" t="s">
        <v>3134</v>
      </c>
      <c r="I861" s="306" t="s">
        <v>3135</v>
      </c>
      <c r="J861" s="304"/>
      <c r="K861" s="304" t="s">
        <v>3069</v>
      </c>
      <c r="L861" s="304" t="s">
        <v>2980</v>
      </c>
      <c r="M861" s="306"/>
      <c r="N861" s="304" t="s">
        <v>96</v>
      </c>
      <c r="O861" s="306" t="s">
        <v>21</v>
      </c>
      <c r="P861" s="304">
        <v>0</v>
      </c>
      <c r="Q861" s="304">
        <v>0</v>
      </c>
      <c r="R861" s="304">
        <v>1</v>
      </c>
      <c r="S861" s="308">
        <v>0</v>
      </c>
    </row>
    <row r="862" spans="1:19" ht="409.6">
      <c r="A862" s="303">
        <v>857</v>
      </c>
      <c r="B862" s="304">
        <v>1421</v>
      </c>
      <c r="C862" s="305" t="s">
        <v>101</v>
      </c>
      <c r="D862" s="306" t="s">
        <v>3065</v>
      </c>
      <c r="E862" s="304">
        <v>3</v>
      </c>
      <c r="F862" s="306" t="s">
        <v>3127</v>
      </c>
      <c r="G862" s="306"/>
      <c r="H862" s="306" t="s">
        <v>3136</v>
      </c>
      <c r="I862" s="306" t="s">
        <v>3137</v>
      </c>
      <c r="J862" s="304"/>
      <c r="K862" s="304" t="s">
        <v>3069</v>
      </c>
      <c r="L862" s="304" t="s">
        <v>2980</v>
      </c>
      <c r="M862" s="306"/>
      <c r="N862" s="304" t="s">
        <v>96</v>
      </c>
      <c r="O862" s="306" t="s">
        <v>21</v>
      </c>
      <c r="P862" s="304">
        <v>0</v>
      </c>
      <c r="Q862" s="304">
        <v>0</v>
      </c>
      <c r="R862" s="304">
        <v>1</v>
      </c>
      <c r="S862" s="308">
        <v>0</v>
      </c>
    </row>
    <row r="863" spans="1:19" ht="168">
      <c r="A863" s="303">
        <v>858</v>
      </c>
      <c r="B863" s="304">
        <v>1422</v>
      </c>
      <c r="C863" s="305" t="s">
        <v>101</v>
      </c>
      <c r="D863" s="306" t="s">
        <v>3065</v>
      </c>
      <c r="E863" s="304">
        <v>3</v>
      </c>
      <c r="F863" s="306" t="s">
        <v>3127</v>
      </c>
      <c r="G863" s="306"/>
      <c r="H863" s="306" t="s">
        <v>3138</v>
      </c>
      <c r="I863" s="306" t="s">
        <v>3139</v>
      </c>
      <c r="J863" s="304"/>
      <c r="K863" s="304" t="s">
        <v>3069</v>
      </c>
      <c r="L863" s="304" t="s">
        <v>2980</v>
      </c>
      <c r="M863" s="306"/>
      <c r="N863" s="304" t="s">
        <v>96</v>
      </c>
      <c r="O863" s="306" t="s">
        <v>21</v>
      </c>
      <c r="P863" s="304">
        <v>0</v>
      </c>
      <c r="Q863" s="304">
        <v>0</v>
      </c>
      <c r="R863" s="304">
        <v>1</v>
      </c>
      <c r="S863" s="308">
        <v>0</v>
      </c>
    </row>
    <row r="864" spans="1:19" ht="120">
      <c r="A864" s="303">
        <v>859</v>
      </c>
      <c r="B864" s="304">
        <v>1423</v>
      </c>
      <c r="C864" s="305" t="s">
        <v>101</v>
      </c>
      <c r="D864" s="306" t="s">
        <v>3065</v>
      </c>
      <c r="E864" s="304">
        <v>4</v>
      </c>
      <c r="F864" s="306" t="s">
        <v>3140</v>
      </c>
      <c r="G864" s="306"/>
      <c r="H864" s="306" t="s">
        <v>3141</v>
      </c>
      <c r="I864" s="306" t="s">
        <v>3142</v>
      </c>
      <c r="J864" s="304"/>
      <c r="K864" s="304" t="s">
        <v>3069</v>
      </c>
      <c r="L864" s="304" t="s">
        <v>2980</v>
      </c>
      <c r="M864" s="306"/>
      <c r="N864" s="304" t="s">
        <v>96</v>
      </c>
      <c r="O864" s="306" t="s">
        <v>71</v>
      </c>
      <c r="P864" s="304">
        <v>0</v>
      </c>
      <c r="Q864" s="304">
        <v>0</v>
      </c>
      <c r="R864" s="304">
        <v>1</v>
      </c>
      <c r="S864" s="308">
        <v>0</v>
      </c>
    </row>
    <row r="865" spans="1:19" ht="120">
      <c r="A865" s="303">
        <v>860</v>
      </c>
      <c r="B865" s="304">
        <v>1424</v>
      </c>
      <c r="C865" s="305" t="s">
        <v>101</v>
      </c>
      <c r="D865" s="306" t="s">
        <v>3065</v>
      </c>
      <c r="E865" s="304">
        <v>4</v>
      </c>
      <c r="F865" s="306" t="s">
        <v>3140</v>
      </c>
      <c r="G865" s="306"/>
      <c r="H865" s="306" t="s">
        <v>3143</v>
      </c>
      <c r="I865" s="306" t="s">
        <v>3144</v>
      </c>
      <c r="J865" s="304"/>
      <c r="K865" s="304" t="s">
        <v>3145</v>
      </c>
      <c r="L865" s="304" t="s">
        <v>2980</v>
      </c>
      <c r="M865" s="306"/>
      <c r="N865" s="304" t="s">
        <v>96</v>
      </c>
      <c r="O865" s="306" t="s">
        <v>71</v>
      </c>
      <c r="P865" s="304">
        <v>0</v>
      </c>
      <c r="Q865" s="304">
        <v>0</v>
      </c>
      <c r="R865" s="304">
        <v>1</v>
      </c>
      <c r="S865" s="308">
        <v>0</v>
      </c>
    </row>
    <row r="866" spans="1:19" ht="120">
      <c r="A866" s="303">
        <v>861</v>
      </c>
      <c r="B866" s="304">
        <v>1425</v>
      </c>
      <c r="C866" s="305" t="s">
        <v>101</v>
      </c>
      <c r="D866" s="306" t="s">
        <v>3065</v>
      </c>
      <c r="E866" s="304">
        <v>4</v>
      </c>
      <c r="F866" s="306" t="s">
        <v>3140</v>
      </c>
      <c r="G866" s="306"/>
      <c r="H866" s="306" t="s">
        <v>3146</v>
      </c>
      <c r="I866" s="306" t="s">
        <v>3147</v>
      </c>
      <c r="J866" s="304"/>
      <c r="K866" s="304" t="s">
        <v>3069</v>
      </c>
      <c r="L866" s="304" t="s">
        <v>2980</v>
      </c>
      <c r="M866" s="306"/>
      <c r="N866" s="304" t="s">
        <v>96</v>
      </c>
      <c r="O866" s="306" t="s">
        <v>71</v>
      </c>
      <c r="P866" s="304">
        <v>0</v>
      </c>
      <c r="Q866" s="304">
        <v>0</v>
      </c>
      <c r="R866" s="304">
        <v>1</v>
      </c>
      <c r="S866" s="308">
        <v>0</v>
      </c>
    </row>
    <row r="867" spans="1:19" ht="180">
      <c r="A867" s="303">
        <v>862</v>
      </c>
      <c r="B867" s="304">
        <v>1426</v>
      </c>
      <c r="C867" s="305" t="s">
        <v>101</v>
      </c>
      <c r="D867" s="306" t="s">
        <v>3065</v>
      </c>
      <c r="E867" s="304">
        <v>6</v>
      </c>
      <c r="F867" s="306" t="s">
        <v>3148</v>
      </c>
      <c r="G867" s="306"/>
      <c r="H867" s="306" t="s">
        <v>3149</v>
      </c>
      <c r="I867" s="306" t="s">
        <v>3150</v>
      </c>
      <c r="J867" s="304"/>
      <c r="K867" s="304" t="s">
        <v>3145</v>
      </c>
      <c r="L867" s="304" t="s">
        <v>2980</v>
      </c>
      <c r="M867" s="306"/>
      <c r="N867" s="304" t="s">
        <v>96</v>
      </c>
      <c r="O867" s="306" t="s">
        <v>18</v>
      </c>
      <c r="P867" s="304">
        <v>0</v>
      </c>
      <c r="Q867" s="304">
        <v>0</v>
      </c>
      <c r="R867" s="304">
        <v>1</v>
      </c>
      <c r="S867" s="308">
        <v>0</v>
      </c>
    </row>
    <row r="868" spans="1:19" ht="132">
      <c r="A868" s="303">
        <v>863</v>
      </c>
      <c r="B868" s="304">
        <v>1427</v>
      </c>
      <c r="C868" s="305" t="s">
        <v>101</v>
      </c>
      <c r="D868" s="306" t="s">
        <v>3065</v>
      </c>
      <c r="E868" s="304">
        <v>7</v>
      </c>
      <c r="F868" s="306" t="s">
        <v>3151</v>
      </c>
      <c r="G868" s="306"/>
      <c r="H868" s="306" t="s">
        <v>3152</v>
      </c>
      <c r="I868" s="306" t="s">
        <v>3153</v>
      </c>
      <c r="J868" s="304"/>
      <c r="K868" s="304" t="s">
        <v>3145</v>
      </c>
      <c r="L868" s="304" t="s">
        <v>2980</v>
      </c>
      <c r="M868" s="306"/>
      <c r="N868" s="304" t="s">
        <v>96</v>
      </c>
      <c r="O868" s="306" t="s">
        <v>71</v>
      </c>
      <c r="P868" s="304">
        <v>0</v>
      </c>
      <c r="Q868" s="304">
        <v>0</v>
      </c>
      <c r="R868" s="304">
        <v>1</v>
      </c>
      <c r="S868" s="308">
        <v>0</v>
      </c>
    </row>
    <row r="869" spans="1:19" ht="132">
      <c r="A869" s="303">
        <v>864</v>
      </c>
      <c r="B869" s="304">
        <v>1428</v>
      </c>
      <c r="C869" s="305" t="s">
        <v>101</v>
      </c>
      <c r="D869" s="306" t="s">
        <v>3065</v>
      </c>
      <c r="E869" s="304">
        <v>7</v>
      </c>
      <c r="F869" s="306" t="s">
        <v>3151</v>
      </c>
      <c r="G869" s="306"/>
      <c r="H869" s="306" t="s">
        <v>3154</v>
      </c>
      <c r="I869" s="306" t="s">
        <v>3155</v>
      </c>
      <c r="J869" s="304"/>
      <c r="K869" s="304" t="s">
        <v>3145</v>
      </c>
      <c r="L869" s="304" t="s">
        <v>2980</v>
      </c>
      <c r="M869" s="306"/>
      <c r="N869" s="304" t="s">
        <v>96</v>
      </c>
      <c r="O869" s="306" t="s">
        <v>71</v>
      </c>
      <c r="P869" s="304">
        <v>0</v>
      </c>
      <c r="Q869" s="304">
        <v>0</v>
      </c>
      <c r="R869" s="304">
        <v>1</v>
      </c>
      <c r="S869" s="308">
        <v>0</v>
      </c>
    </row>
    <row r="870" spans="1:19" ht="96">
      <c r="A870" s="303">
        <v>865</v>
      </c>
      <c r="B870" s="304">
        <v>1440</v>
      </c>
      <c r="C870" s="305">
        <v>4</v>
      </c>
      <c r="D870" s="306" t="s">
        <v>3420</v>
      </c>
      <c r="E870" s="304">
        <v>3</v>
      </c>
      <c r="F870" s="306" t="s">
        <v>3421</v>
      </c>
      <c r="G870" s="306"/>
      <c r="H870" s="306" t="s">
        <v>3422</v>
      </c>
      <c r="I870" s="306" t="s">
        <v>3423</v>
      </c>
      <c r="J870" s="304"/>
      <c r="K870" s="316">
        <v>40619</v>
      </c>
      <c r="L870" s="316">
        <v>46022</v>
      </c>
      <c r="M870" s="306"/>
      <c r="N870" s="304" t="s">
        <v>96</v>
      </c>
      <c r="O870" s="306" t="s">
        <v>71</v>
      </c>
      <c r="P870" s="304">
        <v>0</v>
      </c>
      <c r="Q870" s="304">
        <v>0</v>
      </c>
      <c r="R870" s="304">
        <v>0</v>
      </c>
      <c r="S870" s="308">
        <v>0</v>
      </c>
    </row>
    <row r="871" spans="1:19" ht="204">
      <c r="A871" s="303">
        <v>866</v>
      </c>
      <c r="B871" s="304">
        <v>1447</v>
      </c>
      <c r="C871" s="305" t="s">
        <v>100</v>
      </c>
      <c r="D871" s="306" t="s">
        <v>3157</v>
      </c>
      <c r="E871" s="304">
        <v>1</v>
      </c>
      <c r="F871" s="306" t="s">
        <v>3158</v>
      </c>
      <c r="G871" s="306"/>
      <c r="H871" s="306" t="s">
        <v>3159</v>
      </c>
      <c r="I871" s="306" t="s">
        <v>3160</v>
      </c>
      <c r="J871" s="304"/>
      <c r="K871" s="304" t="s">
        <v>3069</v>
      </c>
      <c r="L871" s="304" t="s">
        <v>2980</v>
      </c>
      <c r="M871" s="306"/>
      <c r="N871" s="304" t="s">
        <v>96</v>
      </c>
      <c r="O871" s="306" t="s">
        <v>51</v>
      </c>
      <c r="P871" s="304">
        <v>1</v>
      </c>
      <c r="Q871" s="304">
        <v>1</v>
      </c>
      <c r="R871" s="304">
        <v>1</v>
      </c>
      <c r="S871" s="308">
        <v>1</v>
      </c>
    </row>
    <row r="872" spans="1:19" ht="108">
      <c r="A872" s="303">
        <v>867</v>
      </c>
      <c r="B872" s="304">
        <v>1448</v>
      </c>
      <c r="C872" s="305" t="s">
        <v>100</v>
      </c>
      <c r="D872" s="306" t="s">
        <v>3157</v>
      </c>
      <c r="E872" s="304">
        <v>1</v>
      </c>
      <c r="F872" s="306" t="s">
        <v>3158</v>
      </c>
      <c r="G872" s="306"/>
      <c r="H872" s="306" t="s">
        <v>3161</v>
      </c>
      <c r="I872" s="306" t="s">
        <v>3162</v>
      </c>
      <c r="J872" s="304"/>
      <c r="K872" s="304" t="s">
        <v>3069</v>
      </c>
      <c r="L872" s="304" t="s">
        <v>2980</v>
      </c>
      <c r="M872" s="306"/>
      <c r="N872" s="304" t="s">
        <v>96</v>
      </c>
      <c r="O872" s="306" t="s">
        <v>71</v>
      </c>
      <c r="P872" s="304">
        <v>1</v>
      </c>
      <c r="Q872" s="304">
        <v>1</v>
      </c>
      <c r="R872" s="304">
        <v>1</v>
      </c>
      <c r="S872" s="308">
        <v>1</v>
      </c>
    </row>
    <row r="873" spans="1:19" ht="108">
      <c r="A873" s="303">
        <v>868</v>
      </c>
      <c r="B873" s="304">
        <v>1449</v>
      </c>
      <c r="C873" s="305" t="s">
        <v>100</v>
      </c>
      <c r="D873" s="306" t="s">
        <v>3157</v>
      </c>
      <c r="E873" s="304">
        <v>1</v>
      </c>
      <c r="F873" s="306" t="s">
        <v>3158</v>
      </c>
      <c r="G873" s="306"/>
      <c r="H873" s="306" t="s">
        <v>3163</v>
      </c>
      <c r="I873" s="306" t="s">
        <v>3164</v>
      </c>
      <c r="J873" s="304"/>
      <c r="K873" s="304" t="s">
        <v>3069</v>
      </c>
      <c r="L873" s="304" t="s">
        <v>2980</v>
      </c>
      <c r="M873" s="306"/>
      <c r="N873" s="304" t="s">
        <v>96</v>
      </c>
      <c r="O873" s="306" t="s">
        <v>24</v>
      </c>
      <c r="P873" s="304">
        <v>1</v>
      </c>
      <c r="Q873" s="304">
        <v>1</v>
      </c>
      <c r="R873" s="304">
        <v>1</v>
      </c>
      <c r="S873" s="308">
        <v>1</v>
      </c>
    </row>
    <row r="874" spans="1:19" ht="84">
      <c r="A874" s="303">
        <v>869</v>
      </c>
      <c r="B874" s="304">
        <v>1450</v>
      </c>
      <c r="C874" s="305" t="s">
        <v>100</v>
      </c>
      <c r="D874" s="306" t="s">
        <v>3157</v>
      </c>
      <c r="E874" s="304">
        <v>3</v>
      </c>
      <c r="F874" s="306" t="s">
        <v>3165</v>
      </c>
      <c r="G874" s="306"/>
      <c r="H874" s="306" t="s">
        <v>3166</v>
      </c>
      <c r="I874" s="306" t="s">
        <v>3167</v>
      </c>
      <c r="J874" s="304"/>
      <c r="K874" s="304" t="s">
        <v>3117</v>
      </c>
      <c r="L874" s="304" t="s">
        <v>2980</v>
      </c>
      <c r="M874" s="306"/>
      <c r="N874" s="304" t="s">
        <v>96</v>
      </c>
      <c r="O874" s="306" t="s">
        <v>51</v>
      </c>
      <c r="P874" s="304">
        <v>1</v>
      </c>
      <c r="Q874" s="304">
        <v>1</v>
      </c>
      <c r="R874" s="304">
        <v>1</v>
      </c>
      <c r="S874" s="308">
        <v>1</v>
      </c>
    </row>
    <row r="875" spans="1:19" ht="120">
      <c r="A875" s="303">
        <v>870</v>
      </c>
      <c r="B875" s="304">
        <v>1451</v>
      </c>
      <c r="C875" s="305" t="s">
        <v>100</v>
      </c>
      <c r="D875" s="306" t="s">
        <v>3157</v>
      </c>
      <c r="E875" s="304">
        <v>3</v>
      </c>
      <c r="F875" s="306" t="s">
        <v>3165</v>
      </c>
      <c r="G875" s="306"/>
      <c r="H875" s="306" t="s">
        <v>3168</v>
      </c>
      <c r="I875" s="306" t="s">
        <v>3169</v>
      </c>
      <c r="J875" s="304"/>
      <c r="K875" s="304" t="s">
        <v>3069</v>
      </c>
      <c r="L875" s="304" t="s">
        <v>2980</v>
      </c>
      <c r="M875" s="306"/>
      <c r="N875" s="304" t="s">
        <v>96</v>
      </c>
      <c r="O875" s="306" t="s">
        <v>67</v>
      </c>
      <c r="P875" s="304">
        <v>1</v>
      </c>
      <c r="Q875" s="304">
        <v>1</v>
      </c>
      <c r="R875" s="304">
        <v>1</v>
      </c>
      <c r="S875" s="308">
        <v>1</v>
      </c>
    </row>
    <row r="876" spans="1:19" ht="84">
      <c r="A876" s="303">
        <v>871</v>
      </c>
      <c r="B876" s="304">
        <v>1452</v>
      </c>
      <c r="C876" s="305" t="s">
        <v>100</v>
      </c>
      <c r="D876" s="306" t="s">
        <v>3157</v>
      </c>
      <c r="E876" s="304">
        <v>3</v>
      </c>
      <c r="F876" s="306" t="s">
        <v>3165</v>
      </c>
      <c r="G876" s="306"/>
      <c r="H876" s="306" t="s">
        <v>3170</v>
      </c>
      <c r="I876" s="306" t="s">
        <v>3171</v>
      </c>
      <c r="J876" s="304"/>
      <c r="K876" s="304" t="s">
        <v>3069</v>
      </c>
      <c r="L876" s="304" t="s">
        <v>2980</v>
      </c>
      <c r="M876" s="306"/>
      <c r="N876" s="304" t="s">
        <v>96</v>
      </c>
      <c r="O876" s="306" t="s">
        <v>71</v>
      </c>
      <c r="P876" s="304">
        <v>1</v>
      </c>
      <c r="Q876" s="304">
        <v>1</v>
      </c>
      <c r="R876" s="304">
        <v>1</v>
      </c>
      <c r="S876" s="308">
        <v>1</v>
      </c>
    </row>
    <row r="877" spans="1:19" ht="192">
      <c r="A877" s="303">
        <v>872</v>
      </c>
      <c r="B877" s="304">
        <v>1453</v>
      </c>
      <c r="C877" s="305" t="s">
        <v>100</v>
      </c>
      <c r="D877" s="306" t="s">
        <v>3157</v>
      </c>
      <c r="E877" s="304">
        <v>5</v>
      </c>
      <c r="F877" s="306" t="s">
        <v>3172</v>
      </c>
      <c r="G877" s="306"/>
      <c r="H877" s="306" t="s">
        <v>3173</v>
      </c>
      <c r="I877" s="306" t="s">
        <v>3174</v>
      </c>
      <c r="J877" s="304"/>
      <c r="K877" s="304" t="s">
        <v>3156</v>
      </c>
      <c r="L877" s="304" t="s">
        <v>2980</v>
      </c>
      <c r="M877" s="306"/>
      <c r="N877" s="304" t="s">
        <v>96</v>
      </c>
      <c r="O877" s="306" t="s">
        <v>71</v>
      </c>
      <c r="P877" s="304">
        <v>1</v>
      </c>
      <c r="Q877" s="304">
        <v>1</v>
      </c>
      <c r="R877" s="304">
        <v>1</v>
      </c>
      <c r="S877" s="308">
        <v>1</v>
      </c>
    </row>
    <row r="878" spans="1:19" ht="228">
      <c r="A878" s="303">
        <v>873</v>
      </c>
      <c r="B878" s="304">
        <v>1454</v>
      </c>
      <c r="C878" s="305" t="s">
        <v>100</v>
      </c>
      <c r="D878" s="306" t="s">
        <v>3157</v>
      </c>
      <c r="E878" s="304">
        <v>5</v>
      </c>
      <c r="F878" s="306" t="s">
        <v>3172</v>
      </c>
      <c r="G878" s="306"/>
      <c r="H878" s="306" t="s">
        <v>3175</v>
      </c>
      <c r="I878" s="306" t="s">
        <v>3176</v>
      </c>
      <c r="J878" s="304"/>
      <c r="K878" s="304" t="s">
        <v>3156</v>
      </c>
      <c r="L878" s="304" t="s">
        <v>2980</v>
      </c>
      <c r="M878" s="306"/>
      <c r="N878" s="304" t="s">
        <v>96</v>
      </c>
      <c r="O878" s="306" t="s">
        <v>71</v>
      </c>
      <c r="P878" s="304">
        <v>1</v>
      </c>
      <c r="Q878" s="304">
        <v>1</v>
      </c>
      <c r="R878" s="304">
        <v>1</v>
      </c>
      <c r="S878" s="308">
        <v>1</v>
      </c>
    </row>
    <row r="879" spans="1:19" ht="192">
      <c r="A879" s="303">
        <v>874</v>
      </c>
      <c r="B879" s="304">
        <v>1510</v>
      </c>
      <c r="C879" s="304">
        <v>13</v>
      </c>
      <c r="D879" s="306" t="s">
        <v>3181</v>
      </c>
      <c r="E879" s="304">
        <v>1</v>
      </c>
      <c r="F879" s="306" t="s">
        <v>3182</v>
      </c>
      <c r="G879" s="306"/>
      <c r="H879" s="306" t="s">
        <v>3183</v>
      </c>
      <c r="I879" s="306" t="s">
        <v>3184</v>
      </c>
      <c r="J879" s="304"/>
      <c r="K879" s="304" t="s">
        <v>3185</v>
      </c>
      <c r="L879" s="304" t="s">
        <v>2980</v>
      </c>
      <c r="M879" s="306"/>
      <c r="N879" s="304" t="s">
        <v>96</v>
      </c>
      <c r="O879" s="306" t="s">
        <v>71</v>
      </c>
      <c r="P879" s="304">
        <v>1</v>
      </c>
      <c r="Q879" s="304">
        <v>1</v>
      </c>
      <c r="R879" s="304">
        <v>1</v>
      </c>
      <c r="S879" s="308">
        <v>0</v>
      </c>
    </row>
    <row r="880" spans="1:19" ht="204">
      <c r="A880" s="303">
        <v>875</v>
      </c>
      <c r="B880" s="304">
        <v>1511</v>
      </c>
      <c r="C880" s="304">
        <v>13</v>
      </c>
      <c r="D880" s="306" t="s">
        <v>3181</v>
      </c>
      <c r="E880" s="304">
        <v>1</v>
      </c>
      <c r="F880" s="306" t="s">
        <v>3182</v>
      </c>
      <c r="G880" s="306"/>
      <c r="H880" s="306" t="s">
        <v>3186</v>
      </c>
      <c r="I880" s="306" t="s">
        <v>3187</v>
      </c>
      <c r="J880" s="304"/>
      <c r="K880" s="304" t="s">
        <v>3188</v>
      </c>
      <c r="L880" s="304" t="s">
        <v>2980</v>
      </c>
      <c r="M880" s="306"/>
      <c r="N880" s="304" t="s">
        <v>96</v>
      </c>
      <c r="O880" s="306" t="s">
        <v>71</v>
      </c>
      <c r="P880" s="304">
        <v>1</v>
      </c>
      <c r="Q880" s="304">
        <v>1</v>
      </c>
      <c r="R880" s="304">
        <v>1</v>
      </c>
      <c r="S880" s="308">
        <v>0</v>
      </c>
    </row>
    <row r="881" spans="1:19" ht="96">
      <c r="A881" s="303">
        <v>876</v>
      </c>
      <c r="B881" s="304">
        <v>1512</v>
      </c>
      <c r="C881" s="304">
        <v>13</v>
      </c>
      <c r="D881" s="306" t="s">
        <v>3181</v>
      </c>
      <c r="E881" s="304">
        <v>1</v>
      </c>
      <c r="F881" s="306" t="s">
        <v>3182</v>
      </c>
      <c r="G881" s="306"/>
      <c r="H881" s="306" t="s">
        <v>3189</v>
      </c>
      <c r="I881" s="306" t="s">
        <v>3190</v>
      </c>
      <c r="J881" s="304"/>
      <c r="K881" s="304" t="s">
        <v>3188</v>
      </c>
      <c r="L881" s="304" t="s">
        <v>2980</v>
      </c>
      <c r="M881" s="306"/>
      <c r="N881" s="304" t="s">
        <v>96</v>
      </c>
      <c r="O881" s="306" t="s">
        <v>71</v>
      </c>
      <c r="P881" s="304">
        <v>1</v>
      </c>
      <c r="Q881" s="304">
        <v>1</v>
      </c>
      <c r="R881" s="304">
        <v>1</v>
      </c>
      <c r="S881" s="308">
        <v>0</v>
      </c>
    </row>
    <row r="882" spans="1:19" ht="144">
      <c r="A882" s="303">
        <v>877</v>
      </c>
      <c r="B882" s="304">
        <v>1513</v>
      </c>
      <c r="C882" s="304">
        <v>13</v>
      </c>
      <c r="D882" s="306" t="s">
        <v>3181</v>
      </c>
      <c r="E882" s="304">
        <v>2</v>
      </c>
      <c r="F882" s="306" t="s">
        <v>3191</v>
      </c>
      <c r="G882" s="306"/>
      <c r="H882" s="306" t="s">
        <v>3192</v>
      </c>
      <c r="I882" s="306" t="s">
        <v>3193</v>
      </c>
      <c r="J882" s="304"/>
      <c r="K882" s="304" t="s">
        <v>3188</v>
      </c>
      <c r="L882" s="304" t="s">
        <v>2980</v>
      </c>
      <c r="M882" s="306"/>
      <c r="N882" s="304" t="s">
        <v>96</v>
      </c>
      <c r="O882" s="306" t="s">
        <v>71</v>
      </c>
      <c r="P882" s="304">
        <v>1</v>
      </c>
      <c r="Q882" s="304">
        <v>1</v>
      </c>
      <c r="R882" s="304">
        <v>1</v>
      </c>
      <c r="S882" s="308">
        <v>0</v>
      </c>
    </row>
    <row r="883" spans="1:19" ht="96">
      <c r="A883" s="303">
        <v>878</v>
      </c>
      <c r="B883" s="304">
        <v>1514</v>
      </c>
      <c r="C883" s="304">
        <v>13</v>
      </c>
      <c r="D883" s="306" t="s">
        <v>3181</v>
      </c>
      <c r="E883" s="304">
        <v>2</v>
      </c>
      <c r="F883" s="306" t="s">
        <v>3191</v>
      </c>
      <c r="G883" s="306"/>
      <c r="H883" s="306" t="s">
        <v>3194</v>
      </c>
      <c r="I883" s="306" t="s">
        <v>3195</v>
      </c>
      <c r="J883" s="304"/>
      <c r="K883" s="304" t="s">
        <v>3188</v>
      </c>
      <c r="L883" s="304" t="s">
        <v>2980</v>
      </c>
      <c r="M883" s="306"/>
      <c r="N883" s="304" t="s">
        <v>96</v>
      </c>
      <c r="O883" s="306" t="s">
        <v>71</v>
      </c>
      <c r="P883" s="304">
        <v>1</v>
      </c>
      <c r="Q883" s="304">
        <v>1</v>
      </c>
      <c r="R883" s="304">
        <v>1</v>
      </c>
      <c r="S883" s="308">
        <v>0</v>
      </c>
    </row>
    <row r="884" spans="1:19" ht="262">
      <c r="A884" s="303">
        <v>879</v>
      </c>
      <c r="B884" s="304">
        <v>1515</v>
      </c>
      <c r="C884" s="304">
        <v>13</v>
      </c>
      <c r="D884" s="306" t="s">
        <v>3181</v>
      </c>
      <c r="E884" s="304">
        <v>2</v>
      </c>
      <c r="F884" s="306" t="s">
        <v>3191</v>
      </c>
      <c r="G884" s="306"/>
      <c r="H884" s="306" t="s">
        <v>3196</v>
      </c>
      <c r="I884" s="306" t="s">
        <v>3197</v>
      </c>
      <c r="J884" s="304"/>
      <c r="K884" s="304" t="s">
        <v>3188</v>
      </c>
      <c r="L884" s="304" t="s">
        <v>2980</v>
      </c>
      <c r="M884" s="306"/>
      <c r="N884" s="304" t="s">
        <v>96</v>
      </c>
      <c r="O884" s="306" t="s">
        <v>71</v>
      </c>
      <c r="P884" s="304">
        <v>1</v>
      </c>
      <c r="Q884" s="304">
        <v>1</v>
      </c>
      <c r="R884" s="304">
        <v>1</v>
      </c>
      <c r="S884" s="308">
        <v>0</v>
      </c>
    </row>
    <row r="885" spans="1:19" ht="192">
      <c r="A885" s="303">
        <v>880</v>
      </c>
      <c r="B885" s="304">
        <v>1516</v>
      </c>
      <c r="C885" s="304">
        <v>13</v>
      </c>
      <c r="D885" s="306" t="s">
        <v>3181</v>
      </c>
      <c r="E885" s="304">
        <v>2</v>
      </c>
      <c r="F885" s="306" t="s">
        <v>3191</v>
      </c>
      <c r="G885" s="306"/>
      <c r="H885" s="306" t="s">
        <v>3198</v>
      </c>
      <c r="I885" s="306" t="s">
        <v>3199</v>
      </c>
      <c r="J885" s="304"/>
      <c r="K885" s="304" t="s">
        <v>3188</v>
      </c>
      <c r="L885" s="304" t="s">
        <v>2980</v>
      </c>
      <c r="M885" s="306"/>
      <c r="N885" s="304" t="s">
        <v>96</v>
      </c>
      <c r="O885" s="306" t="s">
        <v>71</v>
      </c>
      <c r="P885" s="304">
        <v>1</v>
      </c>
      <c r="Q885" s="304">
        <v>1</v>
      </c>
      <c r="R885" s="304">
        <v>1</v>
      </c>
      <c r="S885" s="308">
        <v>0</v>
      </c>
    </row>
    <row r="886" spans="1:19" ht="96">
      <c r="A886" s="303">
        <v>881</v>
      </c>
      <c r="B886" s="304">
        <v>1517</v>
      </c>
      <c r="C886" s="304">
        <v>13</v>
      </c>
      <c r="D886" s="306" t="s">
        <v>3181</v>
      </c>
      <c r="E886" s="304">
        <v>2</v>
      </c>
      <c r="F886" s="306" t="s">
        <v>3191</v>
      </c>
      <c r="G886" s="306"/>
      <c r="H886" s="306" t="s">
        <v>3200</v>
      </c>
      <c r="I886" s="306" t="s">
        <v>3201</v>
      </c>
      <c r="J886" s="304"/>
      <c r="K886" s="304" t="s">
        <v>3188</v>
      </c>
      <c r="L886" s="304" t="s">
        <v>2980</v>
      </c>
      <c r="M886" s="306"/>
      <c r="N886" s="304" t="s">
        <v>96</v>
      </c>
      <c r="O886" s="306" t="s">
        <v>71</v>
      </c>
      <c r="P886" s="304">
        <v>1</v>
      </c>
      <c r="Q886" s="304">
        <v>1</v>
      </c>
      <c r="R886" s="304">
        <v>1</v>
      </c>
      <c r="S886" s="308">
        <v>0</v>
      </c>
    </row>
    <row r="887" spans="1:19" ht="96">
      <c r="A887" s="303">
        <v>882</v>
      </c>
      <c r="B887" s="304">
        <v>1518</v>
      </c>
      <c r="C887" s="304">
        <v>13</v>
      </c>
      <c r="D887" s="306" t="s">
        <v>3181</v>
      </c>
      <c r="E887" s="304">
        <v>2</v>
      </c>
      <c r="F887" s="306" t="s">
        <v>3191</v>
      </c>
      <c r="G887" s="306"/>
      <c r="H887" s="306" t="s">
        <v>3202</v>
      </c>
      <c r="I887" s="306" t="s">
        <v>3203</v>
      </c>
      <c r="J887" s="304"/>
      <c r="K887" s="304" t="s">
        <v>3188</v>
      </c>
      <c r="L887" s="304" t="s">
        <v>2980</v>
      </c>
      <c r="M887" s="306"/>
      <c r="N887" s="304" t="s">
        <v>96</v>
      </c>
      <c r="O887" s="306" t="s">
        <v>71</v>
      </c>
      <c r="P887" s="304">
        <v>1</v>
      </c>
      <c r="Q887" s="304">
        <v>1</v>
      </c>
      <c r="R887" s="304">
        <v>1</v>
      </c>
      <c r="S887" s="308">
        <v>0</v>
      </c>
    </row>
    <row r="888" spans="1:19" ht="96">
      <c r="A888" s="303">
        <v>883</v>
      </c>
      <c r="B888" s="304">
        <v>1519</v>
      </c>
      <c r="C888" s="304">
        <v>13</v>
      </c>
      <c r="D888" s="306" t="s">
        <v>3181</v>
      </c>
      <c r="E888" s="304">
        <v>2</v>
      </c>
      <c r="F888" s="306" t="s">
        <v>3191</v>
      </c>
      <c r="G888" s="306"/>
      <c r="H888" s="306" t="s">
        <v>3204</v>
      </c>
      <c r="I888" s="306" t="s">
        <v>3205</v>
      </c>
      <c r="J888" s="304"/>
      <c r="K888" s="304" t="s">
        <v>3206</v>
      </c>
      <c r="L888" s="304" t="s">
        <v>3207</v>
      </c>
      <c r="M888" s="306"/>
      <c r="N888" s="304" t="s">
        <v>96</v>
      </c>
      <c r="O888" s="306" t="s">
        <v>71</v>
      </c>
      <c r="P888" s="304">
        <v>1</v>
      </c>
      <c r="Q888" s="304">
        <v>1</v>
      </c>
      <c r="R888" s="304">
        <v>1</v>
      </c>
      <c r="S888" s="308">
        <v>0</v>
      </c>
    </row>
    <row r="889" spans="1:19" ht="96">
      <c r="A889" s="303">
        <v>884</v>
      </c>
      <c r="B889" s="304">
        <v>1520</v>
      </c>
      <c r="C889" s="304">
        <v>13</v>
      </c>
      <c r="D889" s="306" t="s">
        <v>3181</v>
      </c>
      <c r="E889" s="304">
        <v>4</v>
      </c>
      <c r="F889" s="306" t="s">
        <v>3208</v>
      </c>
      <c r="G889" s="306"/>
      <c r="H889" s="306" t="s">
        <v>3209</v>
      </c>
      <c r="I889" s="306" t="s">
        <v>3210</v>
      </c>
      <c r="J889" s="304"/>
      <c r="K889" s="304" t="s">
        <v>3211</v>
      </c>
      <c r="L889" s="304" t="s">
        <v>3207</v>
      </c>
      <c r="M889" s="306"/>
      <c r="N889" s="304" t="s">
        <v>96</v>
      </c>
      <c r="O889" s="306" t="s">
        <v>55</v>
      </c>
      <c r="P889" s="304">
        <v>1</v>
      </c>
      <c r="Q889" s="304">
        <v>1</v>
      </c>
      <c r="R889" s="304">
        <v>1</v>
      </c>
      <c r="S889" s="308">
        <v>0</v>
      </c>
    </row>
    <row r="890" spans="1:19" ht="96">
      <c r="A890" s="303">
        <v>885</v>
      </c>
      <c r="B890" s="304">
        <v>1521</v>
      </c>
      <c r="C890" s="304">
        <v>13</v>
      </c>
      <c r="D890" s="306" t="s">
        <v>3181</v>
      </c>
      <c r="E890" s="304">
        <v>4</v>
      </c>
      <c r="F890" s="306" t="s">
        <v>3208</v>
      </c>
      <c r="G890" s="306"/>
      <c r="H890" s="306" t="s">
        <v>3212</v>
      </c>
      <c r="I890" s="306" t="s">
        <v>3213</v>
      </c>
      <c r="J890" s="304"/>
      <c r="K890" s="304" t="s">
        <v>3211</v>
      </c>
      <c r="L890" s="304" t="s">
        <v>3207</v>
      </c>
      <c r="M890" s="306"/>
      <c r="N890" s="304" t="s">
        <v>96</v>
      </c>
      <c r="O890" s="306" t="s">
        <v>71</v>
      </c>
      <c r="P890" s="304">
        <v>1</v>
      </c>
      <c r="Q890" s="304">
        <v>1</v>
      </c>
      <c r="R890" s="304">
        <v>1</v>
      </c>
      <c r="S890" s="308">
        <v>0</v>
      </c>
    </row>
    <row r="891" spans="1:19" ht="96">
      <c r="A891" s="303">
        <v>886</v>
      </c>
      <c r="B891" s="304">
        <v>1522</v>
      </c>
      <c r="C891" s="304">
        <v>13</v>
      </c>
      <c r="D891" s="306" t="s">
        <v>3181</v>
      </c>
      <c r="E891" s="304">
        <v>4</v>
      </c>
      <c r="F891" s="306" t="s">
        <v>3208</v>
      </c>
      <c r="G891" s="306"/>
      <c r="H891" s="306" t="s">
        <v>3214</v>
      </c>
      <c r="I891" s="306"/>
      <c r="J891" s="304"/>
      <c r="K891" s="304" t="s">
        <v>3211</v>
      </c>
      <c r="L891" s="304" t="s">
        <v>3207</v>
      </c>
      <c r="M891" s="306"/>
      <c r="N891" s="304" t="s">
        <v>96</v>
      </c>
      <c r="O891" s="306" t="s">
        <v>71</v>
      </c>
      <c r="P891" s="304">
        <v>1</v>
      </c>
      <c r="Q891" s="304">
        <v>1</v>
      </c>
      <c r="R891" s="304">
        <v>1</v>
      </c>
      <c r="S891" s="308">
        <v>0</v>
      </c>
    </row>
    <row r="892" spans="1:19" ht="132">
      <c r="A892" s="303">
        <v>887</v>
      </c>
      <c r="B892" s="304">
        <v>1523</v>
      </c>
      <c r="C892" s="304">
        <v>13</v>
      </c>
      <c r="D892" s="306" t="s">
        <v>3181</v>
      </c>
      <c r="E892" s="304">
        <v>6</v>
      </c>
      <c r="F892" s="306" t="s">
        <v>3215</v>
      </c>
      <c r="G892" s="306"/>
      <c r="H892" s="306" t="s">
        <v>3216</v>
      </c>
      <c r="I892" s="306"/>
      <c r="J892" s="304"/>
      <c r="K892" s="304" t="s">
        <v>3211</v>
      </c>
      <c r="L892" s="304" t="s">
        <v>3207</v>
      </c>
      <c r="M892" s="306"/>
      <c r="N892" s="304" t="s">
        <v>96</v>
      </c>
      <c r="O892" s="306" t="s">
        <v>71</v>
      </c>
      <c r="P892" s="304">
        <v>1</v>
      </c>
      <c r="Q892" s="304">
        <v>1</v>
      </c>
      <c r="R892" s="304">
        <v>1</v>
      </c>
      <c r="S892" s="308">
        <v>0</v>
      </c>
    </row>
    <row r="893" spans="1:19" ht="96">
      <c r="A893" s="303">
        <v>888</v>
      </c>
      <c r="B893" s="304">
        <v>1524</v>
      </c>
      <c r="C893" s="304">
        <v>13</v>
      </c>
      <c r="D893" s="306" t="s">
        <v>3181</v>
      </c>
      <c r="E893" s="304">
        <v>7</v>
      </c>
      <c r="F893" s="306" t="s">
        <v>3217</v>
      </c>
      <c r="G893" s="306"/>
      <c r="H893" s="306" t="s">
        <v>3218</v>
      </c>
      <c r="I893" s="306" t="s">
        <v>3219</v>
      </c>
      <c r="J893" s="304"/>
      <c r="K893" s="304" t="s">
        <v>3206</v>
      </c>
      <c r="L893" s="304" t="s">
        <v>3207</v>
      </c>
      <c r="M893" s="306"/>
      <c r="N893" s="304" t="s">
        <v>96</v>
      </c>
      <c r="O893" s="306" t="s">
        <v>71</v>
      </c>
      <c r="P893" s="304">
        <v>1</v>
      </c>
      <c r="Q893" s="304">
        <v>1</v>
      </c>
      <c r="R893" s="304">
        <v>1</v>
      </c>
      <c r="S893" s="308">
        <v>0</v>
      </c>
    </row>
    <row r="894" spans="1:19" ht="108">
      <c r="A894" s="303">
        <v>889</v>
      </c>
      <c r="B894" s="304">
        <v>1525</v>
      </c>
      <c r="C894" s="304">
        <v>13</v>
      </c>
      <c r="D894" s="306" t="s">
        <v>3181</v>
      </c>
      <c r="E894" s="304">
        <v>7</v>
      </c>
      <c r="F894" s="306" t="s">
        <v>3217</v>
      </c>
      <c r="G894" s="306"/>
      <c r="H894" s="306" t="s">
        <v>3220</v>
      </c>
      <c r="I894" s="306" t="s">
        <v>3221</v>
      </c>
      <c r="J894" s="304"/>
      <c r="K894" s="304" t="s">
        <v>3206</v>
      </c>
      <c r="L894" s="304" t="s">
        <v>3207</v>
      </c>
      <c r="M894" s="306"/>
      <c r="N894" s="304" t="s">
        <v>96</v>
      </c>
      <c r="O894" s="306" t="s">
        <v>71</v>
      </c>
      <c r="P894" s="304">
        <v>1</v>
      </c>
      <c r="Q894" s="304">
        <v>1</v>
      </c>
      <c r="R894" s="304">
        <v>1</v>
      </c>
      <c r="S894" s="308">
        <v>0</v>
      </c>
    </row>
    <row r="895" spans="1:19" ht="96">
      <c r="A895" s="303">
        <v>890</v>
      </c>
      <c r="B895" s="304">
        <v>1526</v>
      </c>
      <c r="C895" s="304">
        <v>13</v>
      </c>
      <c r="D895" s="306" t="s">
        <v>3181</v>
      </c>
      <c r="E895" s="304">
        <v>8</v>
      </c>
      <c r="F895" s="306" t="s">
        <v>3222</v>
      </c>
      <c r="G895" s="306"/>
      <c r="H895" s="306" t="s">
        <v>3223</v>
      </c>
      <c r="I895" s="306" t="s">
        <v>3224</v>
      </c>
      <c r="J895" s="304"/>
      <c r="K895" s="304" t="s">
        <v>3206</v>
      </c>
      <c r="L895" s="304" t="s">
        <v>3207</v>
      </c>
      <c r="M895" s="306"/>
      <c r="N895" s="304" t="s">
        <v>96</v>
      </c>
      <c r="O895" s="306" t="s">
        <v>71</v>
      </c>
      <c r="P895" s="304">
        <v>1</v>
      </c>
      <c r="Q895" s="304">
        <v>1</v>
      </c>
      <c r="R895" s="304">
        <v>1</v>
      </c>
      <c r="S895" s="308">
        <v>0</v>
      </c>
    </row>
    <row r="896" spans="1:19" ht="96">
      <c r="A896" s="303">
        <v>891</v>
      </c>
      <c r="B896" s="304">
        <v>1527</v>
      </c>
      <c r="C896" s="304">
        <v>13</v>
      </c>
      <c r="D896" s="306" t="s">
        <v>3181</v>
      </c>
      <c r="E896" s="304">
        <v>8</v>
      </c>
      <c r="F896" s="306" t="s">
        <v>3222</v>
      </c>
      <c r="G896" s="306"/>
      <c r="H896" s="306" t="s">
        <v>3225</v>
      </c>
      <c r="I896" s="306" t="s">
        <v>3226</v>
      </c>
      <c r="J896" s="304"/>
      <c r="K896" s="304" t="s">
        <v>3206</v>
      </c>
      <c r="L896" s="304" t="s">
        <v>3207</v>
      </c>
      <c r="M896" s="306"/>
      <c r="N896" s="304" t="s">
        <v>96</v>
      </c>
      <c r="O896" s="306" t="s">
        <v>71</v>
      </c>
      <c r="P896" s="304">
        <v>1</v>
      </c>
      <c r="Q896" s="304">
        <v>1</v>
      </c>
      <c r="R896" s="304">
        <v>1</v>
      </c>
      <c r="S896" s="308">
        <v>0</v>
      </c>
    </row>
    <row r="897" spans="1:19" ht="350">
      <c r="A897" s="303">
        <v>892</v>
      </c>
      <c r="B897" s="304">
        <v>1528</v>
      </c>
      <c r="C897" s="304">
        <v>15</v>
      </c>
      <c r="D897" s="306" t="s">
        <v>3227</v>
      </c>
      <c r="E897" s="304">
        <v>1</v>
      </c>
      <c r="F897" s="306" t="s">
        <v>3228</v>
      </c>
      <c r="G897" s="306"/>
      <c r="H897" s="306" t="s">
        <v>3229</v>
      </c>
      <c r="I897" s="306" t="s">
        <v>3230</v>
      </c>
      <c r="J897" s="304"/>
      <c r="K897" s="304" t="s">
        <v>3231</v>
      </c>
      <c r="L897" s="304" t="s">
        <v>3207</v>
      </c>
      <c r="M897" s="306"/>
      <c r="N897" s="304" t="s">
        <v>96</v>
      </c>
      <c r="O897" s="306" t="s">
        <v>51</v>
      </c>
      <c r="P897" s="304">
        <v>1</v>
      </c>
      <c r="Q897" s="304">
        <v>1</v>
      </c>
      <c r="R897" s="304">
        <v>1</v>
      </c>
      <c r="S897" s="308">
        <v>1</v>
      </c>
    </row>
    <row r="898" spans="1:19" ht="96">
      <c r="A898" s="303">
        <v>893</v>
      </c>
      <c r="B898" s="304">
        <v>1529</v>
      </c>
      <c r="C898" s="304">
        <v>15</v>
      </c>
      <c r="D898" s="306" t="s">
        <v>3227</v>
      </c>
      <c r="E898" s="304">
        <v>1</v>
      </c>
      <c r="F898" s="306" t="s">
        <v>3228</v>
      </c>
      <c r="G898" s="306"/>
      <c r="H898" s="306" t="s">
        <v>3232</v>
      </c>
      <c r="I898" s="306" t="s">
        <v>3233</v>
      </c>
      <c r="J898" s="304"/>
      <c r="K898" s="304" t="s">
        <v>3234</v>
      </c>
      <c r="L898" s="304" t="s">
        <v>3207</v>
      </c>
      <c r="M898" s="306"/>
      <c r="N898" s="304" t="s">
        <v>96</v>
      </c>
      <c r="O898" s="306" t="s">
        <v>71</v>
      </c>
      <c r="P898" s="304">
        <v>1</v>
      </c>
      <c r="Q898" s="304">
        <v>1</v>
      </c>
      <c r="R898" s="304">
        <v>1</v>
      </c>
      <c r="S898" s="308">
        <v>1</v>
      </c>
    </row>
    <row r="899" spans="1:19" ht="251">
      <c r="A899" s="303">
        <v>894</v>
      </c>
      <c r="B899" s="304">
        <v>1530</v>
      </c>
      <c r="C899" s="304">
        <v>15</v>
      </c>
      <c r="D899" s="306" t="s">
        <v>3227</v>
      </c>
      <c r="E899" s="304">
        <v>1</v>
      </c>
      <c r="F899" s="306" t="s">
        <v>3228</v>
      </c>
      <c r="G899" s="306"/>
      <c r="H899" s="306" t="s">
        <v>3235</v>
      </c>
      <c r="I899" s="306" t="s">
        <v>3236</v>
      </c>
      <c r="J899" s="304"/>
      <c r="K899" s="304" t="s">
        <v>3237</v>
      </c>
      <c r="L899" s="304" t="s">
        <v>3207</v>
      </c>
      <c r="M899" s="306"/>
      <c r="N899" s="304" t="s">
        <v>96</v>
      </c>
      <c r="O899" s="306" t="s">
        <v>71</v>
      </c>
      <c r="P899" s="304">
        <v>1</v>
      </c>
      <c r="Q899" s="304">
        <v>1</v>
      </c>
      <c r="R899" s="304">
        <v>1</v>
      </c>
      <c r="S899" s="308">
        <v>1</v>
      </c>
    </row>
    <row r="900" spans="1:19" ht="156">
      <c r="A900" s="303">
        <v>895</v>
      </c>
      <c r="B900" s="304">
        <v>1531</v>
      </c>
      <c r="C900" s="304">
        <v>15</v>
      </c>
      <c r="D900" s="306" t="s">
        <v>3227</v>
      </c>
      <c r="E900" s="304">
        <v>3</v>
      </c>
      <c r="F900" s="306" t="s">
        <v>3238</v>
      </c>
      <c r="G900" s="306"/>
      <c r="H900" s="306" t="s">
        <v>3239</v>
      </c>
      <c r="I900" s="306" t="s">
        <v>3240</v>
      </c>
      <c r="J900" s="304"/>
      <c r="K900" s="304" t="s">
        <v>3231</v>
      </c>
      <c r="L900" s="304" t="s">
        <v>3207</v>
      </c>
      <c r="M900" s="306"/>
      <c r="N900" s="304" t="s">
        <v>96</v>
      </c>
      <c r="O900" s="306" t="s">
        <v>71</v>
      </c>
      <c r="P900" s="304">
        <v>1</v>
      </c>
      <c r="Q900" s="304">
        <v>1</v>
      </c>
      <c r="R900" s="304">
        <v>1</v>
      </c>
      <c r="S900" s="308">
        <v>1</v>
      </c>
    </row>
    <row r="901" spans="1:19" ht="96">
      <c r="A901" s="303">
        <v>896</v>
      </c>
      <c r="B901" s="304">
        <v>1532</v>
      </c>
      <c r="C901" s="304">
        <v>15</v>
      </c>
      <c r="D901" s="306" t="s">
        <v>3227</v>
      </c>
      <c r="E901" s="304">
        <v>3</v>
      </c>
      <c r="F901" s="306" t="s">
        <v>3238</v>
      </c>
      <c r="G901" s="306"/>
      <c r="H901" s="306" t="s">
        <v>3241</v>
      </c>
      <c r="I901" s="306" t="s">
        <v>3242</v>
      </c>
      <c r="J901" s="304"/>
      <c r="K901" s="304" t="s">
        <v>3231</v>
      </c>
      <c r="L901" s="304" t="s">
        <v>3207</v>
      </c>
      <c r="M901" s="306"/>
      <c r="N901" s="304" t="s">
        <v>96</v>
      </c>
      <c r="O901" s="306" t="s">
        <v>71</v>
      </c>
      <c r="P901" s="304">
        <v>1</v>
      </c>
      <c r="Q901" s="304">
        <v>1</v>
      </c>
      <c r="R901" s="304">
        <v>1</v>
      </c>
      <c r="S901" s="308">
        <v>1</v>
      </c>
    </row>
    <row r="902" spans="1:19" ht="144">
      <c r="A902" s="303">
        <v>897</v>
      </c>
      <c r="B902" s="304">
        <v>1533</v>
      </c>
      <c r="C902" s="304">
        <v>15</v>
      </c>
      <c r="D902" s="306" t="s">
        <v>3227</v>
      </c>
      <c r="E902" s="304">
        <v>3</v>
      </c>
      <c r="F902" s="306" t="s">
        <v>3238</v>
      </c>
      <c r="G902" s="306"/>
      <c r="H902" s="306" t="s">
        <v>3243</v>
      </c>
      <c r="I902" s="306" t="s">
        <v>3244</v>
      </c>
      <c r="J902" s="304"/>
      <c r="K902" s="304" t="s">
        <v>508</v>
      </c>
      <c r="L902" s="304" t="s">
        <v>3245</v>
      </c>
      <c r="M902" s="306"/>
      <c r="N902" s="304" t="s">
        <v>96</v>
      </c>
      <c r="O902" s="306" t="s">
        <v>71</v>
      </c>
      <c r="P902" s="304">
        <v>1</v>
      </c>
      <c r="Q902" s="304">
        <v>1</v>
      </c>
      <c r="R902" s="304">
        <v>1</v>
      </c>
      <c r="S902" s="308">
        <v>1</v>
      </c>
    </row>
    <row r="903" spans="1:19" ht="204">
      <c r="A903" s="303">
        <v>898</v>
      </c>
      <c r="B903" s="304">
        <v>1534</v>
      </c>
      <c r="C903" s="304">
        <v>15</v>
      </c>
      <c r="D903" s="306" t="s">
        <v>3227</v>
      </c>
      <c r="E903" s="304">
        <v>4</v>
      </c>
      <c r="F903" s="306" t="s">
        <v>3246</v>
      </c>
      <c r="G903" s="306"/>
      <c r="H903" s="306" t="s">
        <v>3247</v>
      </c>
      <c r="I903" s="306" t="s">
        <v>3248</v>
      </c>
      <c r="J903" s="304"/>
      <c r="K903" s="304" t="s">
        <v>3231</v>
      </c>
      <c r="L903" s="304" t="s">
        <v>3207</v>
      </c>
      <c r="M903" s="306"/>
      <c r="N903" s="304" t="s">
        <v>96</v>
      </c>
      <c r="O903" s="306" t="s">
        <v>71</v>
      </c>
      <c r="P903" s="304">
        <v>1</v>
      </c>
      <c r="Q903" s="304">
        <v>1</v>
      </c>
      <c r="R903" s="304">
        <v>1</v>
      </c>
      <c r="S903" s="308">
        <v>1</v>
      </c>
    </row>
    <row r="904" spans="1:19" ht="120">
      <c r="A904" s="303">
        <v>899</v>
      </c>
      <c r="B904" s="304">
        <v>1535</v>
      </c>
      <c r="C904" s="304">
        <v>15</v>
      </c>
      <c r="D904" s="306" t="s">
        <v>3227</v>
      </c>
      <c r="E904" s="304">
        <v>4</v>
      </c>
      <c r="F904" s="306" t="s">
        <v>3246</v>
      </c>
      <c r="G904" s="306"/>
      <c r="H904" s="306" t="s">
        <v>3249</v>
      </c>
      <c r="I904" s="306" t="s">
        <v>3250</v>
      </c>
      <c r="J904" s="304"/>
      <c r="K904" s="304" t="s">
        <v>3231</v>
      </c>
      <c r="L904" s="304" t="s">
        <v>3207</v>
      </c>
      <c r="M904" s="306"/>
      <c r="N904" s="304" t="s">
        <v>96</v>
      </c>
      <c r="O904" s="306" t="s">
        <v>71</v>
      </c>
      <c r="P904" s="304">
        <v>1</v>
      </c>
      <c r="Q904" s="304">
        <v>1</v>
      </c>
      <c r="R904" s="304">
        <v>1</v>
      </c>
      <c r="S904" s="308">
        <v>1</v>
      </c>
    </row>
    <row r="905" spans="1:19" ht="262">
      <c r="A905" s="303">
        <v>900</v>
      </c>
      <c r="B905" s="304">
        <v>1536</v>
      </c>
      <c r="C905" s="304">
        <v>15</v>
      </c>
      <c r="D905" s="306" t="s">
        <v>3227</v>
      </c>
      <c r="E905" s="304">
        <v>5</v>
      </c>
      <c r="F905" s="306" t="s">
        <v>3251</v>
      </c>
      <c r="G905" s="306"/>
      <c r="H905" s="306" t="s">
        <v>3252</v>
      </c>
      <c r="I905" s="306" t="s">
        <v>3253</v>
      </c>
      <c r="J905" s="304"/>
      <c r="K905" s="304" t="s">
        <v>3231</v>
      </c>
      <c r="L905" s="304" t="s">
        <v>3207</v>
      </c>
      <c r="M905" s="306"/>
      <c r="N905" s="304" t="s">
        <v>96</v>
      </c>
      <c r="O905" s="306" t="s">
        <v>51</v>
      </c>
      <c r="P905" s="304">
        <v>1</v>
      </c>
      <c r="Q905" s="304">
        <v>1</v>
      </c>
      <c r="R905" s="304">
        <v>1</v>
      </c>
      <c r="S905" s="308">
        <v>1</v>
      </c>
    </row>
    <row r="906" spans="1:19" ht="96">
      <c r="A906" s="303">
        <v>901</v>
      </c>
      <c r="B906" s="304">
        <v>1537</v>
      </c>
      <c r="C906" s="304">
        <v>15</v>
      </c>
      <c r="D906" s="306" t="s">
        <v>3227</v>
      </c>
      <c r="E906" s="304">
        <v>5</v>
      </c>
      <c r="F906" s="306" t="s">
        <v>3251</v>
      </c>
      <c r="G906" s="306"/>
      <c r="H906" s="306" t="s">
        <v>3254</v>
      </c>
      <c r="I906" s="306" t="s">
        <v>3255</v>
      </c>
      <c r="J906" s="304"/>
      <c r="K906" s="304" t="s">
        <v>3231</v>
      </c>
      <c r="L906" s="304" t="s">
        <v>3207</v>
      </c>
      <c r="M906" s="306"/>
      <c r="N906" s="304" t="s">
        <v>96</v>
      </c>
      <c r="O906" s="306" t="s">
        <v>71</v>
      </c>
      <c r="P906" s="304">
        <v>1</v>
      </c>
      <c r="Q906" s="304">
        <v>1</v>
      </c>
      <c r="R906" s="304">
        <v>1</v>
      </c>
      <c r="S906" s="308">
        <v>1</v>
      </c>
    </row>
    <row r="907" spans="1:19" ht="204">
      <c r="A907" s="303">
        <v>902</v>
      </c>
      <c r="B907" s="304">
        <v>1538</v>
      </c>
      <c r="C907" s="304">
        <v>15</v>
      </c>
      <c r="D907" s="306" t="s">
        <v>3227</v>
      </c>
      <c r="E907" s="304">
        <v>5</v>
      </c>
      <c r="F907" s="306" t="s">
        <v>3251</v>
      </c>
      <c r="G907" s="306"/>
      <c r="H907" s="306" t="s">
        <v>3256</v>
      </c>
      <c r="I907" s="306" t="s">
        <v>3257</v>
      </c>
      <c r="J907" s="304"/>
      <c r="K907" s="304" t="s">
        <v>3231</v>
      </c>
      <c r="L907" s="304" t="s">
        <v>3207</v>
      </c>
      <c r="M907" s="306"/>
      <c r="N907" s="304" t="s">
        <v>96</v>
      </c>
      <c r="O907" s="306" t="s">
        <v>71</v>
      </c>
      <c r="P907" s="304">
        <v>1</v>
      </c>
      <c r="Q907" s="304">
        <v>1</v>
      </c>
      <c r="R907" s="304">
        <v>1</v>
      </c>
      <c r="S907" s="308">
        <v>1</v>
      </c>
    </row>
    <row r="908" spans="1:19" ht="144">
      <c r="A908" s="303">
        <v>903</v>
      </c>
      <c r="B908" s="304">
        <v>1539</v>
      </c>
      <c r="C908" s="304">
        <v>15</v>
      </c>
      <c r="D908" s="306" t="s">
        <v>3227</v>
      </c>
      <c r="E908" s="304">
        <v>5</v>
      </c>
      <c r="F908" s="306" t="s">
        <v>3251</v>
      </c>
      <c r="G908" s="306"/>
      <c r="H908" s="306" t="s">
        <v>3258</v>
      </c>
      <c r="I908" s="306" t="s">
        <v>3259</v>
      </c>
      <c r="J908" s="304"/>
      <c r="K908" s="304" t="s">
        <v>3231</v>
      </c>
      <c r="L908" s="304" t="s">
        <v>3207</v>
      </c>
      <c r="M908" s="306"/>
      <c r="N908" s="304" t="s">
        <v>96</v>
      </c>
      <c r="O908" s="306" t="s">
        <v>71</v>
      </c>
      <c r="P908" s="304">
        <v>1</v>
      </c>
      <c r="Q908" s="304">
        <v>1</v>
      </c>
      <c r="R908" s="304">
        <v>1</v>
      </c>
      <c r="S908" s="308">
        <v>1</v>
      </c>
    </row>
    <row r="909" spans="1:19" ht="306">
      <c r="A909" s="303">
        <v>904</v>
      </c>
      <c r="B909" s="304">
        <v>1540</v>
      </c>
      <c r="C909" s="304">
        <v>15</v>
      </c>
      <c r="D909" s="306" t="s">
        <v>3227</v>
      </c>
      <c r="E909" s="304">
        <v>6</v>
      </c>
      <c r="F909" s="306" t="s">
        <v>3260</v>
      </c>
      <c r="G909" s="306"/>
      <c r="H909" s="306" t="s">
        <v>3261</v>
      </c>
      <c r="I909" s="306" t="s">
        <v>3262</v>
      </c>
      <c r="J909" s="304"/>
      <c r="K909" s="304" t="s">
        <v>3231</v>
      </c>
      <c r="L909" s="304" t="s">
        <v>3207</v>
      </c>
      <c r="M909" s="306"/>
      <c r="N909" s="304" t="s">
        <v>96</v>
      </c>
      <c r="O909" s="306" t="s">
        <v>71</v>
      </c>
      <c r="P909" s="304">
        <v>1</v>
      </c>
      <c r="Q909" s="304">
        <v>1</v>
      </c>
      <c r="R909" s="304">
        <v>1</v>
      </c>
      <c r="S909" s="308">
        <v>1</v>
      </c>
    </row>
    <row r="910" spans="1:19" ht="120">
      <c r="A910" s="303">
        <v>905</v>
      </c>
      <c r="B910" s="304">
        <v>1541</v>
      </c>
      <c r="C910" s="304">
        <v>15</v>
      </c>
      <c r="D910" s="306" t="s">
        <v>3227</v>
      </c>
      <c r="E910" s="304">
        <v>7</v>
      </c>
      <c r="F910" s="306" t="s">
        <v>3263</v>
      </c>
      <c r="G910" s="306"/>
      <c r="H910" s="306" t="s">
        <v>3264</v>
      </c>
      <c r="I910" s="306" t="s">
        <v>3265</v>
      </c>
      <c r="J910" s="304"/>
      <c r="K910" s="304" t="s">
        <v>3231</v>
      </c>
      <c r="L910" s="304" t="s">
        <v>3207</v>
      </c>
      <c r="M910" s="306"/>
      <c r="N910" s="304" t="s">
        <v>96</v>
      </c>
      <c r="O910" s="306" t="s">
        <v>67</v>
      </c>
      <c r="P910" s="304">
        <v>1</v>
      </c>
      <c r="Q910" s="304">
        <v>1</v>
      </c>
      <c r="R910" s="304">
        <v>1</v>
      </c>
      <c r="S910" s="308">
        <v>1</v>
      </c>
    </row>
    <row r="911" spans="1:19" ht="144">
      <c r="A911" s="303">
        <v>906</v>
      </c>
      <c r="B911" s="304">
        <v>1542</v>
      </c>
      <c r="C911" s="304">
        <v>15</v>
      </c>
      <c r="D911" s="306" t="s">
        <v>3227</v>
      </c>
      <c r="E911" s="304">
        <v>7</v>
      </c>
      <c r="F911" s="306" t="s">
        <v>3263</v>
      </c>
      <c r="G911" s="306"/>
      <c r="H911" s="306" t="s">
        <v>3266</v>
      </c>
      <c r="I911" s="306" t="s">
        <v>3267</v>
      </c>
      <c r="J911" s="304"/>
      <c r="K911" s="304" t="s">
        <v>3231</v>
      </c>
      <c r="L911" s="304" t="s">
        <v>3207</v>
      </c>
      <c r="M911" s="306"/>
      <c r="N911" s="304" t="s">
        <v>96</v>
      </c>
      <c r="O911" s="306" t="s">
        <v>67</v>
      </c>
      <c r="P911" s="304">
        <v>1</v>
      </c>
      <c r="Q911" s="304">
        <v>1</v>
      </c>
      <c r="R911" s="304">
        <v>1</v>
      </c>
      <c r="S911" s="308">
        <v>1</v>
      </c>
    </row>
    <row r="912" spans="1:19" ht="156">
      <c r="A912" s="303">
        <v>907</v>
      </c>
      <c r="B912" s="304">
        <v>1543</v>
      </c>
      <c r="C912" s="304">
        <v>15</v>
      </c>
      <c r="D912" s="306" t="s">
        <v>3227</v>
      </c>
      <c r="E912" s="304">
        <v>7</v>
      </c>
      <c r="F912" s="306" t="s">
        <v>3263</v>
      </c>
      <c r="G912" s="306"/>
      <c r="H912" s="306" t="s">
        <v>3268</v>
      </c>
      <c r="I912" s="306" t="s">
        <v>3269</v>
      </c>
      <c r="J912" s="304"/>
      <c r="K912" s="304" t="s">
        <v>3231</v>
      </c>
      <c r="L912" s="304" t="s">
        <v>3207</v>
      </c>
      <c r="M912" s="306"/>
      <c r="N912" s="304" t="s">
        <v>96</v>
      </c>
      <c r="O912" s="306" t="s">
        <v>67</v>
      </c>
      <c r="P912" s="304">
        <v>1</v>
      </c>
      <c r="Q912" s="304">
        <v>1</v>
      </c>
      <c r="R912" s="304">
        <v>1</v>
      </c>
      <c r="S912" s="308">
        <v>1</v>
      </c>
    </row>
    <row r="913" spans="1:19" ht="120">
      <c r="A913" s="303">
        <v>908</v>
      </c>
      <c r="B913" s="304">
        <v>1544</v>
      </c>
      <c r="C913" s="304">
        <v>15</v>
      </c>
      <c r="D913" s="306" t="s">
        <v>3227</v>
      </c>
      <c r="E913" s="304">
        <v>7</v>
      </c>
      <c r="F913" s="306" t="s">
        <v>3263</v>
      </c>
      <c r="G913" s="306"/>
      <c r="H913" s="306" t="s">
        <v>3270</v>
      </c>
      <c r="I913" s="306" t="s">
        <v>3271</v>
      </c>
      <c r="J913" s="304"/>
      <c r="K913" s="304" t="s">
        <v>3231</v>
      </c>
      <c r="L913" s="304" t="s">
        <v>3207</v>
      </c>
      <c r="M913" s="306"/>
      <c r="N913" s="304" t="s">
        <v>96</v>
      </c>
      <c r="O913" s="306" t="s">
        <v>67</v>
      </c>
      <c r="P913" s="304">
        <v>1</v>
      </c>
      <c r="Q913" s="304">
        <v>1</v>
      </c>
      <c r="R913" s="304">
        <v>1</v>
      </c>
      <c r="S913" s="308">
        <v>1</v>
      </c>
    </row>
    <row r="914" spans="1:19" ht="96">
      <c r="A914" s="303">
        <v>909</v>
      </c>
      <c r="B914" s="304">
        <v>1545</v>
      </c>
      <c r="C914" s="304">
        <v>15</v>
      </c>
      <c r="D914" s="306" t="s">
        <v>3227</v>
      </c>
      <c r="E914" s="304">
        <v>7</v>
      </c>
      <c r="F914" s="306" t="s">
        <v>3263</v>
      </c>
      <c r="G914" s="306"/>
      <c r="H914" s="306" t="s">
        <v>3272</v>
      </c>
      <c r="I914" s="306" t="s">
        <v>3273</v>
      </c>
      <c r="J914" s="304"/>
      <c r="K914" s="304" t="s">
        <v>3274</v>
      </c>
      <c r="L914" s="304" t="s">
        <v>3275</v>
      </c>
      <c r="M914" s="306"/>
      <c r="N914" s="304" t="s">
        <v>96</v>
      </c>
      <c r="O914" s="306" t="s">
        <v>71</v>
      </c>
      <c r="P914" s="304">
        <v>1</v>
      </c>
      <c r="Q914" s="304">
        <v>1</v>
      </c>
      <c r="R914" s="304">
        <v>1</v>
      </c>
      <c r="S914" s="308">
        <v>1</v>
      </c>
    </row>
    <row r="915" spans="1:19" ht="240">
      <c r="A915" s="303">
        <v>910</v>
      </c>
      <c r="B915" s="304">
        <v>1546</v>
      </c>
      <c r="C915" s="304">
        <v>15</v>
      </c>
      <c r="D915" s="306" t="s">
        <v>3227</v>
      </c>
      <c r="E915" s="304">
        <v>8</v>
      </c>
      <c r="F915" s="306" t="s">
        <v>3276</v>
      </c>
      <c r="G915" s="306"/>
      <c r="H915" s="306" t="s">
        <v>3277</v>
      </c>
      <c r="I915" s="306" t="s">
        <v>3278</v>
      </c>
      <c r="J915" s="304"/>
      <c r="K915" s="304" t="s">
        <v>3231</v>
      </c>
      <c r="L915" s="304" t="s">
        <v>3207</v>
      </c>
      <c r="M915" s="306"/>
      <c r="N915" s="304" t="s">
        <v>96</v>
      </c>
      <c r="O915" s="306" t="s">
        <v>71</v>
      </c>
      <c r="P915" s="304">
        <v>1</v>
      </c>
      <c r="Q915" s="304">
        <v>1</v>
      </c>
      <c r="R915" s="304">
        <v>1</v>
      </c>
      <c r="S915" s="308">
        <v>1</v>
      </c>
    </row>
    <row r="916" spans="1:19" ht="204">
      <c r="A916" s="303">
        <v>911</v>
      </c>
      <c r="B916" s="304">
        <v>1547</v>
      </c>
      <c r="C916" s="304">
        <v>15</v>
      </c>
      <c r="D916" s="306" t="s">
        <v>3227</v>
      </c>
      <c r="E916" s="304">
        <v>8</v>
      </c>
      <c r="F916" s="306" t="s">
        <v>3276</v>
      </c>
      <c r="G916" s="306"/>
      <c r="H916" s="306" t="s">
        <v>3279</v>
      </c>
      <c r="I916" s="306" t="s">
        <v>3280</v>
      </c>
      <c r="J916" s="304"/>
      <c r="K916" s="304" t="s">
        <v>3231</v>
      </c>
      <c r="L916" s="304" t="s">
        <v>3207</v>
      </c>
      <c r="M916" s="306"/>
      <c r="N916" s="304" t="s">
        <v>96</v>
      </c>
      <c r="O916" s="306" t="s">
        <v>71</v>
      </c>
      <c r="P916" s="304">
        <v>1</v>
      </c>
      <c r="Q916" s="304">
        <v>1</v>
      </c>
      <c r="R916" s="304">
        <v>1</v>
      </c>
      <c r="S916" s="308">
        <v>1</v>
      </c>
    </row>
    <row r="917" spans="1:19" ht="132">
      <c r="A917" s="303">
        <v>912</v>
      </c>
      <c r="B917" s="304">
        <v>1548</v>
      </c>
      <c r="C917" s="304">
        <v>15</v>
      </c>
      <c r="D917" s="306" t="s">
        <v>3227</v>
      </c>
      <c r="E917" s="304">
        <v>9</v>
      </c>
      <c r="F917" s="306" t="s">
        <v>3281</v>
      </c>
      <c r="G917" s="306"/>
      <c r="H917" s="306" t="s">
        <v>3282</v>
      </c>
      <c r="I917" s="306" t="s">
        <v>3283</v>
      </c>
      <c r="J917" s="304"/>
      <c r="K917" s="304" t="s">
        <v>3231</v>
      </c>
      <c r="L917" s="304" t="s">
        <v>3207</v>
      </c>
      <c r="M917" s="306"/>
      <c r="N917" s="304" t="s">
        <v>96</v>
      </c>
      <c r="O917" s="306" t="s">
        <v>71</v>
      </c>
      <c r="P917" s="304">
        <v>1</v>
      </c>
      <c r="Q917" s="304">
        <v>1</v>
      </c>
      <c r="R917" s="304">
        <v>1</v>
      </c>
      <c r="S917" s="308">
        <v>1</v>
      </c>
    </row>
    <row r="918" spans="1:19" ht="108">
      <c r="A918" s="303">
        <v>913</v>
      </c>
      <c r="B918" s="304">
        <v>1549</v>
      </c>
      <c r="C918" s="304">
        <v>15</v>
      </c>
      <c r="D918" s="306" t="s">
        <v>3227</v>
      </c>
      <c r="E918" s="304">
        <v>9</v>
      </c>
      <c r="F918" s="306" t="s">
        <v>3281</v>
      </c>
      <c r="G918" s="306"/>
      <c r="H918" s="306" t="s">
        <v>3284</v>
      </c>
      <c r="I918" s="306" t="s">
        <v>3285</v>
      </c>
      <c r="J918" s="304"/>
      <c r="K918" s="304" t="s">
        <v>3286</v>
      </c>
      <c r="L918" s="304" t="s">
        <v>3207</v>
      </c>
      <c r="M918" s="306"/>
      <c r="N918" s="304" t="s">
        <v>96</v>
      </c>
      <c r="O918" s="306" t="s">
        <v>71</v>
      </c>
      <c r="P918" s="304">
        <v>1</v>
      </c>
      <c r="Q918" s="304">
        <v>1</v>
      </c>
      <c r="R918" s="304">
        <v>1</v>
      </c>
      <c r="S918" s="308">
        <v>1</v>
      </c>
    </row>
    <row r="919" spans="1:19" ht="262">
      <c r="A919" s="303">
        <v>914</v>
      </c>
      <c r="B919" s="304">
        <v>1550</v>
      </c>
      <c r="C919" s="304">
        <v>15</v>
      </c>
      <c r="D919" s="306" t="s">
        <v>3227</v>
      </c>
      <c r="E919" s="304">
        <v>9</v>
      </c>
      <c r="F919" s="306" t="s">
        <v>3281</v>
      </c>
      <c r="G919" s="306"/>
      <c r="H919" s="306" t="s">
        <v>3287</v>
      </c>
      <c r="I919" s="306" t="s">
        <v>3288</v>
      </c>
      <c r="J919" s="304"/>
      <c r="K919" s="304" t="s">
        <v>3289</v>
      </c>
      <c r="L919" s="304" t="s">
        <v>3207</v>
      </c>
      <c r="M919" s="306"/>
      <c r="N919" s="304" t="s">
        <v>96</v>
      </c>
      <c r="O919" s="306" t="s">
        <v>71</v>
      </c>
      <c r="P919" s="304">
        <v>1</v>
      </c>
      <c r="Q919" s="304">
        <v>1</v>
      </c>
      <c r="R919" s="304">
        <v>1</v>
      </c>
      <c r="S919" s="308">
        <v>1</v>
      </c>
    </row>
    <row r="920" spans="1:19" ht="168">
      <c r="A920" s="303">
        <v>915</v>
      </c>
      <c r="B920" s="304">
        <v>1551</v>
      </c>
      <c r="C920" s="304">
        <v>15</v>
      </c>
      <c r="D920" s="306" t="s">
        <v>3227</v>
      </c>
      <c r="E920" s="304">
        <v>9</v>
      </c>
      <c r="F920" s="306" t="s">
        <v>3281</v>
      </c>
      <c r="G920" s="306"/>
      <c r="H920" s="306" t="s">
        <v>3290</v>
      </c>
      <c r="I920" s="306" t="s">
        <v>3291</v>
      </c>
      <c r="J920" s="304"/>
      <c r="K920" s="304" t="s">
        <v>3231</v>
      </c>
      <c r="L920" s="304" t="s">
        <v>3207</v>
      </c>
      <c r="M920" s="306"/>
      <c r="N920" s="304" t="s">
        <v>96</v>
      </c>
      <c r="O920" s="306" t="s">
        <v>71</v>
      </c>
      <c r="P920" s="304">
        <v>1</v>
      </c>
      <c r="Q920" s="304">
        <v>1</v>
      </c>
      <c r="R920" s="304">
        <v>1</v>
      </c>
      <c r="S920" s="308">
        <v>1</v>
      </c>
    </row>
    <row r="921" spans="1:19" ht="339">
      <c r="A921" s="303">
        <v>916</v>
      </c>
      <c r="B921" s="304">
        <v>1552</v>
      </c>
      <c r="C921" s="304">
        <v>15</v>
      </c>
      <c r="D921" s="306" t="s">
        <v>3227</v>
      </c>
      <c r="E921" s="304">
        <v>9</v>
      </c>
      <c r="F921" s="306" t="s">
        <v>3281</v>
      </c>
      <c r="G921" s="306"/>
      <c r="H921" s="306" t="s">
        <v>3292</v>
      </c>
      <c r="I921" s="306" t="s">
        <v>3293</v>
      </c>
      <c r="J921" s="304"/>
      <c r="K921" s="304" t="s">
        <v>3231</v>
      </c>
      <c r="L921" s="304" t="s">
        <v>3207</v>
      </c>
      <c r="M921" s="306"/>
      <c r="N921" s="304" t="s">
        <v>96</v>
      </c>
      <c r="O921" s="306" t="s">
        <v>71</v>
      </c>
      <c r="P921" s="304">
        <v>1</v>
      </c>
      <c r="Q921" s="304">
        <v>1</v>
      </c>
      <c r="R921" s="304">
        <v>1</v>
      </c>
      <c r="S921" s="308">
        <v>1</v>
      </c>
    </row>
    <row r="922" spans="1:19" ht="120">
      <c r="A922" s="303">
        <v>917</v>
      </c>
      <c r="B922" s="304">
        <v>1553</v>
      </c>
      <c r="C922" s="304">
        <v>15</v>
      </c>
      <c r="D922" s="306" t="s">
        <v>3227</v>
      </c>
      <c r="E922" s="304">
        <v>9</v>
      </c>
      <c r="F922" s="306" t="s">
        <v>3281</v>
      </c>
      <c r="G922" s="306"/>
      <c r="H922" s="306" t="s">
        <v>3294</v>
      </c>
      <c r="I922" s="306" t="s">
        <v>3295</v>
      </c>
      <c r="J922" s="304"/>
      <c r="K922" s="304" t="s">
        <v>3231</v>
      </c>
      <c r="L922" s="304" t="s">
        <v>3207</v>
      </c>
      <c r="M922" s="306"/>
      <c r="N922" s="304" t="s">
        <v>96</v>
      </c>
      <c r="O922" s="306" t="s">
        <v>71</v>
      </c>
      <c r="P922" s="304">
        <v>1</v>
      </c>
      <c r="Q922" s="304">
        <v>1</v>
      </c>
      <c r="R922" s="304">
        <v>1</v>
      </c>
      <c r="S922" s="308">
        <v>1</v>
      </c>
    </row>
    <row r="923" spans="1:19" ht="284">
      <c r="A923" s="303">
        <v>918</v>
      </c>
      <c r="B923" s="304">
        <v>1554</v>
      </c>
      <c r="C923" s="304">
        <v>15</v>
      </c>
      <c r="D923" s="306" t="s">
        <v>3227</v>
      </c>
      <c r="E923" s="304">
        <v>9</v>
      </c>
      <c r="F923" s="306" t="s">
        <v>3281</v>
      </c>
      <c r="G923" s="306"/>
      <c r="H923" s="306" t="s">
        <v>3296</v>
      </c>
      <c r="I923" s="306" t="s">
        <v>3297</v>
      </c>
      <c r="J923" s="304"/>
      <c r="K923" s="304" t="s">
        <v>3286</v>
      </c>
      <c r="L923" s="304" t="s">
        <v>3207</v>
      </c>
      <c r="M923" s="306"/>
      <c r="N923" s="304" t="s">
        <v>96</v>
      </c>
      <c r="O923" s="306" t="s">
        <v>71</v>
      </c>
      <c r="P923" s="304">
        <v>1</v>
      </c>
      <c r="Q923" s="304">
        <v>1</v>
      </c>
      <c r="R923" s="304">
        <v>1</v>
      </c>
      <c r="S923" s="308">
        <v>1</v>
      </c>
    </row>
    <row r="924" spans="1:19" ht="262">
      <c r="A924" s="303">
        <v>919</v>
      </c>
      <c r="B924" s="304">
        <v>1555</v>
      </c>
      <c r="C924" s="304">
        <v>15</v>
      </c>
      <c r="D924" s="306" t="s">
        <v>3227</v>
      </c>
      <c r="E924" s="304" t="s">
        <v>3003</v>
      </c>
      <c r="F924" s="306" t="s">
        <v>3298</v>
      </c>
      <c r="G924" s="306"/>
      <c r="H924" s="306" t="s">
        <v>3299</v>
      </c>
      <c r="I924" s="306" t="s">
        <v>3300</v>
      </c>
      <c r="J924" s="304"/>
      <c r="K924" s="304" t="s">
        <v>3231</v>
      </c>
      <c r="L924" s="304" t="s">
        <v>3207</v>
      </c>
      <c r="M924" s="306"/>
      <c r="N924" s="304" t="s">
        <v>96</v>
      </c>
      <c r="O924" s="306" t="s">
        <v>71</v>
      </c>
      <c r="P924" s="304">
        <v>1</v>
      </c>
      <c r="Q924" s="304">
        <v>1</v>
      </c>
      <c r="R924" s="304">
        <v>1</v>
      </c>
      <c r="S924" s="308">
        <v>1</v>
      </c>
    </row>
    <row r="925" spans="1:19" ht="120">
      <c r="A925" s="303">
        <v>920</v>
      </c>
      <c r="B925" s="304">
        <v>1556</v>
      </c>
      <c r="C925" s="304">
        <v>15</v>
      </c>
      <c r="D925" s="306" t="s">
        <v>3227</v>
      </c>
      <c r="E925" s="304" t="s">
        <v>3003</v>
      </c>
      <c r="F925" s="306" t="s">
        <v>3298</v>
      </c>
      <c r="G925" s="306"/>
      <c r="H925" s="306" t="s">
        <v>3301</v>
      </c>
      <c r="I925" s="306" t="s">
        <v>3302</v>
      </c>
      <c r="J925" s="304"/>
      <c r="K925" s="304" t="s">
        <v>3231</v>
      </c>
      <c r="L925" s="304" t="s">
        <v>3207</v>
      </c>
      <c r="M925" s="306"/>
      <c r="N925" s="304" t="s">
        <v>96</v>
      </c>
      <c r="O925" s="306" t="s">
        <v>71</v>
      </c>
      <c r="P925" s="304">
        <v>1</v>
      </c>
      <c r="Q925" s="304">
        <v>1</v>
      </c>
      <c r="R925" s="304">
        <v>1</v>
      </c>
      <c r="S925" s="308">
        <v>1</v>
      </c>
    </row>
    <row r="926" spans="1:19" ht="156">
      <c r="A926" s="303">
        <v>921</v>
      </c>
      <c r="B926" s="304">
        <v>1557</v>
      </c>
      <c r="C926" s="304">
        <v>15</v>
      </c>
      <c r="D926" s="306" t="s">
        <v>3227</v>
      </c>
      <c r="E926" s="304" t="s">
        <v>2775</v>
      </c>
      <c r="F926" s="306" t="s">
        <v>3303</v>
      </c>
      <c r="G926" s="306"/>
      <c r="H926" s="306" t="s">
        <v>3304</v>
      </c>
      <c r="I926" s="306"/>
      <c r="J926" s="304"/>
      <c r="K926" s="304" t="s">
        <v>3305</v>
      </c>
      <c r="L926" s="304" t="s">
        <v>3306</v>
      </c>
      <c r="M926" s="306"/>
      <c r="N926" s="304" t="s">
        <v>96</v>
      </c>
      <c r="O926" s="306"/>
      <c r="P926" s="304">
        <v>1</v>
      </c>
      <c r="Q926" s="304">
        <v>1</v>
      </c>
      <c r="R926" s="304">
        <v>1</v>
      </c>
      <c r="S926" s="308">
        <v>1</v>
      </c>
    </row>
    <row r="927" spans="1:19" ht="132">
      <c r="A927" s="303">
        <v>922</v>
      </c>
      <c r="B927" s="304">
        <v>1558</v>
      </c>
      <c r="C927" s="304">
        <v>15</v>
      </c>
      <c r="D927" s="306" t="s">
        <v>3227</v>
      </c>
      <c r="E927" s="304" t="s">
        <v>1399</v>
      </c>
      <c r="F927" s="306" t="s">
        <v>3307</v>
      </c>
      <c r="G927" s="306"/>
      <c r="H927" s="306" t="s">
        <v>3308</v>
      </c>
      <c r="I927" s="306" t="s">
        <v>3309</v>
      </c>
      <c r="J927" s="304"/>
      <c r="K927" s="304" t="s">
        <v>3206</v>
      </c>
      <c r="L927" s="304" t="s">
        <v>3207</v>
      </c>
      <c r="M927" s="306"/>
      <c r="N927" s="304" t="s">
        <v>96</v>
      </c>
      <c r="O927" s="306" t="s">
        <v>71</v>
      </c>
      <c r="P927" s="304">
        <v>1</v>
      </c>
      <c r="Q927" s="304">
        <v>1</v>
      </c>
      <c r="R927" s="304">
        <v>1</v>
      </c>
      <c r="S927" s="308">
        <v>1</v>
      </c>
    </row>
    <row r="928" spans="1:19" ht="96">
      <c r="A928" s="303">
        <v>923</v>
      </c>
      <c r="B928" s="304">
        <v>1559</v>
      </c>
      <c r="C928" s="304">
        <v>15</v>
      </c>
      <c r="D928" s="306" t="s">
        <v>3227</v>
      </c>
      <c r="E928" s="304" t="s">
        <v>2975</v>
      </c>
      <c r="F928" s="306" t="s">
        <v>3310</v>
      </c>
      <c r="G928" s="306"/>
      <c r="H928" s="306" t="s">
        <v>3311</v>
      </c>
      <c r="I928" s="306"/>
      <c r="J928" s="304"/>
      <c r="K928" s="307"/>
      <c r="L928" s="309"/>
      <c r="M928" s="306"/>
      <c r="N928" s="304" t="s">
        <v>96</v>
      </c>
      <c r="O928" s="306"/>
      <c r="P928" s="304">
        <v>1</v>
      </c>
      <c r="Q928" s="304">
        <v>1</v>
      </c>
      <c r="R928" s="304">
        <v>1</v>
      </c>
      <c r="S928" s="308">
        <v>1</v>
      </c>
    </row>
    <row r="929" spans="1:19" ht="96">
      <c r="A929" s="303">
        <v>924</v>
      </c>
      <c r="B929" s="304">
        <v>1560</v>
      </c>
      <c r="C929" s="304">
        <v>15</v>
      </c>
      <c r="D929" s="306" t="s">
        <v>3227</v>
      </c>
      <c r="E929" s="304" t="s">
        <v>3312</v>
      </c>
      <c r="F929" s="306" t="s">
        <v>3313</v>
      </c>
      <c r="G929" s="306"/>
      <c r="H929" s="306" t="s">
        <v>3314</v>
      </c>
      <c r="I929" s="306"/>
      <c r="J929" s="304"/>
      <c r="K929" s="307"/>
      <c r="L929" s="309"/>
      <c r="M929" s="306"/>
      <c r="N929" s="304" t="s">
        <v>96</v>
      </c>
      <c r="O929" s="306"/>
      <c r="P929" s="304">
        <v>1</v>
      </c>
      <c r="Q929" s="304">
        <v>1</v>
      </c>
      <c r="R929" s="304">
        <v>1</v>
      </c>
      <c r="S929" s="308">
        <v>1</v>
      </c>
    </row>
    <row r="930" spans="1:19" ht="96">
      <c r="A930" s="303">
        <v>925</v>
      </c>
      <c r="B930" s="304">
        <v>1561</v>
      </c>
      <c r="C930" s="304">
        <v>15</v>
      </c>
      <c r="D930" s="306" t="s">
        <v>3227</v>
      </c>
      <c r="E930" s="304" t="s">
        <v>3312</v>
      </c>
      <c r="F930" s="306" t="s">
        <v>3313</v>
      </c>
      <c r="G930" s="306"/>
      <c r="H930" s="306" t="s">
        <v>3315</v>
      </c>
      <c r="I930" s="306"/>
      <c r="J930" s="304"/>
      <c r="K930" s="307"/>
      <c r="L930" s="309"/>
      <c r="M930" s="306"/>
      <c r="N930" s="304" t="s">
        <v>96</v>
      </c>
      <c r="O930" s="306"/>
      <c r="P930" s="304">
        <v>1</v>
      </c>
      <c r="Q930" s="304">
        <v>1</v>
      </c>
      <c r="R930" s="304">
        <v>1</v>
      </c>
      <c r="S930" s="308">
        <v>1</v>
      </c>
    </row>
    <row r="931" spans="1:19" ht="96">
      <c r="A931" s="303">
        <v>926</v>
      </c>
      <c r="B931" s="304">
        <v>1562</v>
      </c>
      <c r="C931" s="304">
        <v>15</v>
      </c>
      <c r="D931" s="306" t="s">
        <v>3227</v>
      </c>
      <c r="E931" s="304" t="s">
        <v>3312</v>
      </c>
      <c r="F931" s="306" t="s">
        <v>3313</v>
      </c>
      <c r="G931" s="306"/>
      <c r="H931" s="306" t="s">
        <v>3316</v>
      </c>
      <c r="I931" s="306"/>
      <c r="J931" s="304"/>
      <c r="K931" s="307"/>
      <c r="L931" s="309"/>
      <c r="M931" s="306"/>
      <c r="N931" s="304" t="s">
        <v>96</v>
      </c>
      <c r="O931" s="306"/>
      <c r="P931" s="304">
        <v>1</v>
      </c>
      <c r="Q931" s="304">
        <v>1</v>
      </c>
      <c r="R931" s="304">
        <v>1</v>
      </c>
      <c r="S931" s="308">
        <v>1</v>
      </c>
    </row>
    <row r="932" spans="1:19" ht="96">
      <c r="A932" s="303">
        <v>927</v>
      </c>
      <c r="B932" s="304">
        <v>1563</v>
      </c>
      <c r="C932" s="304">
        <v>15</v>
      </c>
      <c r="D932" s="306" t="s">
        <v>3227</v>
      </c>
      <c r="E932" s="304" t="s">
        <v>3312</v>
      </c>
      <c r="F932" s="306" t="s">
        <v>3313</v>
      </c>
      <c r="G932" s="306"/>
      <c r="H932" s="306" t="s">
        <v>3317</v>
      </c>
      <c r="I932" s="306"/>
      <c r="J932" s="304"/>
      <c r="K932" s="307"/>
      <c r="L932" s="309"/>
      <c r="M932" s="306"/>
      <c r="N932" s="304" t="s">
        <v>96</v>
      </c>
      <c r="O932" s="306"/>
      <c r="P932" s="304">
        <v>1</v>
      </c>
      <c r="Q932" s="304">
        <v>1</v>
      </c>
      <c r="R932" s="304">
        <v>1</v>
      </c>
      <c r="S932" s="308">
        <v>1</v>
      </c>
    </row>
    <row r="933" spans="1:19" ht="96">
      <c r="A933" s="303">
        <v>928</v>
      </c>
      <c r="B933" s="304">
        <v>1564</v>
      </c>
      <c r="C933" s="304">
        <v>15</v>
      </c>
      <c r="D933" s="306" t="s">
        <v>3227</v>
      </c>
      <c r="E933" s="304" t="s">
        <v>3312</v>
      </c>
      <c r="F933" s="306" t="s">
        <v>3313</v>
      </c>
      <c r="G933" s="306"/>
      <c r="H933" s="306" t="s">
        <v>3179</v>
      </c>
      <c r="I933" s="306"/>
      <c r="J933" s="304"/>
      <c r="K933" s="307"/>
      <c r="L933" s="309"/>
      <c r="M933" s="306"/>
      <c r="N933" s="304" t="s">
        <v>96</v>
      </c>
      <c r="O933" s="306"/>
      <c r="P933" s="304">
        <v>1</v>
      </c>
      <c r="Q933" s="304">
        <v>1</v>
      </c>
      <c r="R933" s="304">
        <v>1</v>
      </c>
      <c r="S933" s="308">
        <v>1</v>
      </c>
    </row>
    <row r="934" spans="1:19" ht="96">
      <c r="A934" s="303">
        <v>929</v>
      </c>
      <c r="B934" s="304">
        <v>1636</v>
      </c>
      <c r="C934" s="304">
        <v>22</v>
      </c>
      <c r="D934" s="306" t="s">
        <v>3319</v>
      </c>
      <c r="E934" s="304">
        <v>2</v>
      </c>
      <c r="F934" s="306" t="s">
        <v>3320</v>
      </c>
      <c r="G934" s="306"/>
      <c r="H934" s="306" t="s">
        <v>3321</v>
      </c>
      <c r="I934" s="306" t="s">
        <v>3322</v>
      </c>
      <c r="J934" s="304"/>
      <c r="K934" s="304" t="s">
        <v>3180</v>
      </c>
      <c r="L934" s="304" t="s">
        <v>3323</v>
      </c>
      <c r="M934" s="306"/>
      <c r="N934" s="304" t="s">
        <v>96</v>
      </c>
      <c r="O934" s="306" t="s">
        <v>71</v>
      </c>
      <c r="P934" s="304">
        <v>1</v>
      </c>
      <c r="Q934" s="304">
        <v>1</v>
      </c>
      <c r="R934" s="304">
        <v>0</v>
      </c>
      <c r="S934" s="308">
        <v>0</v>
      </c>
    </row>
    <row r="935" spans="1:19" ht="204">
      <c r="A935" s="303">
        <v>930</v>
      </c>
      <c r="B935" s="304">
        <v>1637</v>
      </c>
      <c r="C935" s="304">
        <v>22</v>
      </c>
      <c r="D935" s="306" t="s">
        <v>3319</v>
      </c>
      <c r="E935" s="304">
        <v>2</v>
      </c>
      <c r="F935" s="306" t="s">
        <v>3324</v>
      </c>
      <c r="G935" s="306"/>
      <c r="H935" s="306" t="s">
        <v>3325</v>
      </c>
      <c r="I935" s="306"/>
      <c r="J935" s="304"/>
      <c r="K935" s="304" t="s">
        <v>3180</v>
      </c>
      <c r="L935" s="304" t="s">
        <v>3323</v>
      </c>
      <c r="M935" s="306"/>
      <c r="N935" s="304" t="s">
        <v>96</v>
      </c>
      <c r="O935" s="306" t="s">
        <v>71</v>
      </c>
      <c r="P935" s="304">
        <v>1</v>
      </c>
      <c r="Q935" s="304">
        <v>1</v>
      </c>
      <c r="R935" s="304">
        <v>0</v>
      </c>
      <c r="S935" s="308">
        <v>0</v>
      </c>
    </row>
    <row r="936" spans="1:19" ht="204">
      <c r="A936" s="303">
        <v>931</v>
      </c>
      <c r="B936" s="304">
        <v>1638</v>
      </c>
      <c r="C936" s="304">
        <v>22</v>
      </c>
      <c r="D936" s="306" t="s">
        <v>3319</v>
      </c>
      <c r="E936" s="304">
        <v>2</v>
      </c>
      <c r="F936" s="306" t="s">
        <v>3324</v>
      </c>
      <c r="G936" s="306"/>
      <c r="H936" s="306" t="s">
        <v>3326</v>
      </c>
      <c r="I936" s="306"/>
      <c r="J936" s="304"/>
      <c r="K936" s="304" t="s">
        <v>3180</v>
      </c>
      <c r="L936" s="304" t="s">
        <v>3323</v>
      </c>
      <c r="M936" s="306"/>
      <c r="N936" s="304" t="s">
        <v>96</v>
      </c>
      <c r="O936" s="306" t="s">
        <v>71</v>
      </c>
      <c r="P936" s="304">
        <v>1</v>
      </c>
      <c r="Q936" s="304">
        <v>1</v>
      </c>
      <c r="R936" s="304">
        <v>0</v>
      </c>
      <c r="S936" s="308">
        <v>0</v>
      </c>
    </row>
    <row r="937" spans="1:19" ht="144">
      <c r="A937" s="303">
        <v>932</v>
      </c>
      <c r="B937" s="304">
        <v>1639</v>
      </c>
      <c r="C937" s="304">
        <v>22</v>
      </c>
      <c r="D937" s="306" t="s">
        <v>3319</v>
      </c>
      <c r="E937" s="304">
        <v>3</v>
      </c>
      <c r="F937" s="306" t="s">
        <v>3327</v>
      </c>
      <c r="G937" s="306"/>
      <c r="H937" s="306" t="s">
        <v>3328</v>
      </c>
      <c r="I937" s="306"/>
      <c r="J937" s="304"/>
      <c r="K937" s="304" t="s">
        <v>3180</v>
      </c>
      <c r="L937" s="304" t="s">
        <v>3323</v>
      </c>
      <c r="M937" s="306"/>
      <c r="N937" s="304" t="s">
        <v>96</v>
      </c>
      <c r="O937" s="306" t="s">
        <v>71</v>
      </c>
      <c r="P937" s="304">
        <v>1</v>
      </c>
      <c r="Q937" s="304">
        <v>1</v>
      </c>
      <c r="R937" s="304">
        <v>0</v>
      </c>
      <c r="S937" s="308">
        <v>0</v>
      </c>
    </row>
    <row r="938" spans="1:19" ht="144">
      <c r="A938" s="303">
        <v>933</v>
      </c>
      <c r="B938" s="304">
        <v>1640</v>
      </c>
      <c r="C938" s="304">
        <v>22</v>
      </c>
      <c r="D938" s="306" t="s">
        <v>3319</v>
      </c>
      <c r="E938" s="304">
        <v>3</v>
      </c>
      <c r="F938" s="306" t="s">
        <v>3327</v>
      </c>
      <c r="G938" s="306"/>
      <c r="H938" s="306" t="s">
        <v>3329</v>
      </c>
      <c r="I938" s="306"/>
      <c r="J938" s="304"/>
      <c r="K938" s="304" t="s">
        <v>3330</v>
      </c>
      <c r="L938" s="304" t="s">
        <v>3046</v>
      </c>
      <c r="M938" s="306"/>
      <c r="N938" s="304" t="s">
        <v>96</v>
      </c>
      <c r="O938" s="306" t="s">
        <v>71</v>
      </c>
      <c r="P938" s="304">
        <v>1</v>
      </c>
      <c r="Q938" s="304">
        <v>1</v>
      </c>
      <c r="R938" s="304">
        <v>0</v>
      </c>
      <c r="S938" s="308">
        <v>0</v>
      </c>
    </row>
    <row r="939" spans="1:19" ht="144">
      <c r="A939" s="303">
        <v>934</v>
      </c>
      <c r="B939" s="304">
        <v>1641</v>
      </c>
      <c r="C939" s="304">
        <v>22</v>
      </c>
      <c r="D939" s="306" t="s">
        <v>3319</v>
      </c>
      <c r="E939" s="304">
        <v>3</v>
      </c>
      <c r="F939" s="306" t="s">
        <v>3327</v>
      </c>
      <c r="G939" s="306"/>
      <c r="H939" s="306" t="s">
        <v>3331</v>
      </c>
      <c r="I939" s="306"/>
      <c r="J939" s="304"/>
      <c r="K939" s="304" t="s">
        <v>3180</v>
      </c>
      <c r="L939" s="304" t="s">
        <v>3323</v>
      </c>
      <c r="M939" s="306"/>
      <c r="N939" s="304" t="s">
        <v>96</v>
      </c>
      <c r="O939" s="306" t="s">
        <v>71</v>
      </c>
      <c r="P939" s="304">
        <v>1</v>
      </c>
      <c r="Q939" s="304">
        <v>1</v>
      </c>
      <c r="R939" s="304">
        <v>0</v>
      </c>
      <c r="S939" s="308">
        <v>0</v>
      </c>
    </row>
    <row r="940" spans="1:19" ht="168">
      <c r="A940" s="303">
        <v>935</v>
      </c>
      <c r="B940" s="304">
        <v>1642</v>
      </c>
      <c r="C940" s="304">
        <v>22</v>
      </c>
      <c r="D940" s="306" t="s">
        <v>3319</v>
      </c>
      <c r="E940" s="304">
        <v>4</v>
      </c>
      <c r="F940" s="306" t="s">
        <v>3332</v>
      </c>
      <c r="G940" s="306"/>
      <c r="H940" s="306" t="s">
        <v>3333</v>
      </c>
      <c r="I940" s="306"/>
      <c r="J940" s="304"/>
      <c r="K940" s="304" t="s">
        <v>3180</v>
      </c>
      <c r="L940" s="304" t="s">
        <v>3323</v>
      </c>
      <c r="M940" s="306"/>
      <c r="N940" s="304" t="s">
        <v>96</v>
      </c>
      <c r="O940" s="306" t="s">
        <v>71</v>
      </c>
      <c r="P940" s="304">
        <v>1</v>
      </c>
      <c r="Q940" s="304">
        <v>1</v>
      </c>
      <c r="R940" s="304">
        <v>0</v>
      </c>
      <c r="S940" s="308">
        <v>0</v>
      </c>
    </row>
    <row r="941" spans="1:19" ht="240">
      <c r="A941" s="303">
        <v>936</v>
      </c>
      <c r="B941" s="304">
        <v>1643</v>
      </c>
      <c r="C941" s="304">
        <v>22</v>
      </c>
      <c r="D941" s="306" t="s">
        <v>3319</v>
      </c>
      <c r="E941" s="304">
        <v>5</v>
      </c>
      <c r="F941" s="306" t="s">
        <v>3334</v>
      </c>
      <c r="G941" s="306"/>
      <c r="H941" s="306" t="s">
        <v>3335</v>
      </c>
      <c r="I941" s="306"/>
      <c r="J941" s="304"/>
      <c r="K941" s="304" t="s">
        <v>3180</v>
      </c>
      <c r="L941" s="304" t="s">
        <v>3323</v>
      </c>
      <c r="M941" s="306"/>
      <c r="N941" s="304" t="s">
        <v>96</v>
      </c>
      <c r="O941" s="306" t="s">
        <v>71</v>
      </c>
      <c r="P941" s="304">
        <v>1</v>
      </c>
      <c r="Q941" s="304">
        <v>1</v>
      </c>
      <c r="R941" s="304">
        <v>0</v>
      </c>
      <c r="S941" s="308">
        <v>0</v>
      </c>
    </row>
    <row r="942" spans="1:19" ht="120">
      <c r="A942" s="303">
        <v>937</v>
      </c>
      <c r="B942" s="304">
        <v>1644</v>
      </c>
      <c r="C942" s="304">
        <v>22</v>
      </c>
      <c r="D942" s="306" t="s">
        <v>3319</v>
      </c>
      <c r="E942" s="304" t="s">
        <v>3003</v>
      </c>
      <c r="F942" s="306" t="s">
        <v>3336</v>
      </c>
      <c r="G942" s="306"/>
      <c r="H942" s="306" t="s">
        <v>3336</v>
      </c>
      <c r="I942" s="306" t="s">
        <v>3337</v>
      </c>
      <c r="J942" s="304"/>
      <c r="K942" s="304" t="s">
        <v>3145</v>
      </c>
      <c r="L942" s="304" t="s">
        <v>3177</v>
      </c>
      <c r="M942" s="306"/>
      <c r="N942" s="304" t="s">
        <v>96</v>
      </c>
      <c r="O942" s="306" t="s">
        <v>71</v>
      </c>
      <c r="P942" s="304">
        <v>1</v>
      </c>
      <c r="Q942" s="304">
        <v>1</v>
      </c>
      <c r="R942" s="304">
        <v>0</v>
      </c>
      <c r="S942" s="308">
        <v>0</v>
      </c>
    </row>
    <row r="943" spans="1:19" ht="108">
      <c r="A943" s="303">
        <v>938</v>
      </c>
      <c r="B943" s="304">
        <v>1645</v>
      </c>
      <c r="C943" s="304">
        <v>22</v>
      </c>
      <c r="D943" s="306" t="s">
        <v>3319</v>
      </c>
      <c r="E943" s="304" t="s">
        <v>2975</v>
      </c>
      <c r="F943" s="306" t="s">
        <v>3338</v>
      </c>
      <c r="G943" s="306"/>
      <c r="H943" s="306" t="s">
        <v>3339</v>
      </c>
      <c r="I943" s="306"/>
      <c r="J943" s="304"/>
      <c r="K943" s="304" t="s">
        <v>3180</v>
      </c>
      <c r="L943" s="304" t="s">
        <v>3323</v>
      </c>
      <c r="M943" s="306"/>
      <c r="N943" s="304" t="s">
        <v>96</v>
      </c>
      <c r="O943" s="306" t="s">
        <v>71</v>
      </c>
      <c r="P943" s="304">
        <v>1</v>
      </c>
      <c r="Q943" s="304">
        <v>1</v>
      </c>
      <c r="R943" s="304">
        <v>0</v>
      </c>
      <c r="S943" s="308">
        <v>0</v>
      </c>
    </row>
    <row r="944" spans="1:19" ht="108">
      <c r="A944" s="303">
        <v>939</v>
      </c>
      <c r="B944" s="304">
        <v>1646</v>
      </c>
      <c r="C944" s="304">
        <v>22</v>
      </c>
      <c r="D944" s="306" t="s">
        <v>3319</v>
      </c>
      <c r="E944" s="304" t="s">
        <v>2975</v>
      </c>
      <c r="F944" s="306" t="s">
        <v>3338</v>
      </c>
      <c r="G944" s="306"/>
      <c r="H944" s="306" t="s">
        <v>3340</v>
      </c>
      <c r="I944" s="306"/>
      <c r="J944" s="304"/>
      <c r="K944" s="304" t="s">
        <v>3180</v>
      </c>
      <c r="L944" s="304" t="s">
        <v>3323</v>
      </c>
      <c r="M944" s="306"/>
      <c r="N944" s="304" t="s">
        <v>96</v>
      </c>
      <c r="O944" s="306" t="s">
        <v>71</v>
      </c>
      <c r="P944" s="304">
        <v>1</v>
      </c>
      <c r="Q944" s="304">
        <v>1</v>
      </c>
      <c r="R944" s="304">
        <v>0</v>
      </c>
      <c r="S944" s="308">
        <v>0</v>
      </c>
    </row>
    <row r="945" spans="1:19" ht="108">
      <c r="A945" s="303">
        <v>940</v>
      </c>
      <c r="B945" s="304">
        <v>1647</v>
      </c>
      <c r="C945" s="304">
        <v>22</v>
      </c>
      <c r="D945" s="306" t="s">
        <v>3319</v>
      </c>
      <c r="E945" s="304" t="s">
        <v>2975</v>
      </c>
      <c r="F945" s="306" t="s">
        <v>3338</v>
      </c>
      <c r="G945" s="306"/>
      <c r="H945" s="306" t="s">
        <v>3341</v>
      </c>
      <c r="I945" s="306"/>
      <c r="J945" s="304"/>
      <c r="K945" s="304" t="s">
        <v>3180</v>
      </c>
      <c r="L945" s="304" t="s">
        <v>3323</v>
      </c>
      <c r="M945" s="306"/>
      <c r="N945" s="304" t="s">
        <v>96</v>
      </c>
      <c r="O945" s="306" t="s">
        <v>71</v>
      </c>
      <c r="P945" s="304">
        <v>1</v>
      </c>
      <c r="Q945" s="304">
        <v>1</v>
      </c>
      <c r="R945" s="304">
        <v>0</v>
      </c>
      <c r="S945" s="308">
        <v>0</v>
      </c>
    </row>
    <row r="946" spans="1:19" ht="96">
      <c r="A946" s="303">
        <v>941</v>
      </c>
      <c r="B946" s="304">
        <v>1648</v>
      </c>
      <c r="C946" s="304">
        <v>22</v>
      </c>
      <c r="D946" s="306" t="s">
        <v>3319</v>
      </c>
      <c r="E946" s="304" t="s">
        <v>2975</v>
      </c>
      <c r="F946" s="306" t="s">
        <v>3342</v>
      </c>
      <c r="G946" s="306"/>
      <c r="H946" s="306" t="s">
        <v>3343</v>
      </c>
      <c r="I946" s="306"/>
      <c r="J946" s="304"/>
      <c r="K946" s="304" t="s">
        <v>3180</v>
      </c>
      <c r="L946" s="304" t="s">
        <v>3323</v>
      </c>
      <c r="M946" s="306"/>
      <c r="N946" s="304" t="s">
        <v>96</v>
      </c>
      <c r="O946" s="306" t="s">
        <v>71</v>
      </c>
      <c r="P946" s="304">
        <v>1</v>
      </c>
      <c r="Q946" s="304">
        <v>1</v>
      </c>
      <c r="R946" s="304">
        <v>0</v>
      </c>
      <c r="S946" s="308">
        <v>0</v>
      </c>
    </row>
    <row r="947" spans="1:19" ht="120">
      <c r="A947" s="303">
        <v>942</v>
      </c>
      <c r="B947" s="304">
        <v>1649</v>
      </c>
      <c r="C947" s="304">
        <v>22</v>
      </c>
      <c r="D947" s="306" t="s">
        <v>3319</v>
      </c>
      <c r="E947" s="304" t="s">
        <v>3312</v>
      </c>
      <c r="F947" s="306" t="s">
        <v>3344</v>
      </c>
      <c r="G947" s="306"/>
      <c r="H947" s="306" t="s">
        <v>3345</v>
      </c>
      <c r="I947" s="306"/>
      <c r="J947" s="304"/>
      <c r="K947" s="304" t="s">
        <v>3180</v>
      </c>
      <c r="L947" s="304" t="s">
        <v>3323</v>
      </c>
      <c r="M947" s="306"/>
      <c r="N947" s="304" t="s">
        <v>96</v>
      </c>
      <c r="O947" s="306" t="s">
        <v>71</v>
      </c>
      <c r="P947" s="304">
        <v>1</v>
      </c>
      <c r="Q947" s="304">
        <v>1</v>
      </c>
      <c r="R947" s="304">
        <v>0</v>
      </c>
      <c r="S947" s="308">
        <v>0</v>
      </c>
    </row>
    <row r="948" spans="1:19" ht="120">
      <c r="A948" s="303">
        <v>943</v>
      </c>
      <c r="B948" s="304">
        <v>1650</v>
      </c>
      <c r="C948" s="304">
        <v>22</v>
      </c>
      <c r="D948" s="306" t="s">
        <v>3319</v>
      </c>
      <c r="E948" s="304" t="s">
        <v>3312</v>
      </c>
      <c r="F948" s="306" t="s">
        <v>3344</v>
      </c>
      <c r="G948" s="306"/>
      <c r="H948" s="306" t="s">
        <v>3346</v>
      </c>
      <c r="I948" s="306"/>
      <c r="J948" s="304"/>
      <c r="K948" s="304" t="s">
        <v>3180</v>
      </c>
      <c r="L948" s="304" t="s">
        <v>3323</v>
      </c>
      <c r="M948" s="306"/>
      <c r="N948" s="304" t="s">
        <v>96</v>
      </c>
      <c r="O948" s="306" t="s">
        <v>71</v>
      </c>
      <c r="P948" s="304">
        <v>1</v>
      </c>
      <c r="Q948" s="304">
        <v>1</v>
      </c>
      <c r="R948" s="304">
        <v>0</v>
      </c>
      <c r="S948" s="308">
        <v>0</v>
      </c>
    </row>
    <row r="949" spans="1:19" ht="96">
      <c r="A949" s="303">
        <v>944</v>
      </c>
      <c r="B949" s="304">
        <v>1651</v>
      </c>
      <c r="C949" s="304">
        <v>22</v>
      </c>
      <c r="D949" s="306" t="s">
        <v>3319</v>
      </c>
      <c r="E949" s="304" t="s">
        <v>3347</v>
      </c>
      <c r="F949" s="306" t="s">
        <v>3348</v>
      </c>
      <c r="G949" s="306"/>
      <c r="H949" s="306" t="s">
        <v>3349</v>
      </c>
      <c r="I949" s="306"/>
      <c r="J949" s="304"/>
      <c r="K949" s="304" t="s">
        <v>3180</v>
      </c>
      <c r="L949" s="304" t="s">
        <v>3323</v>
      </c>
      <c r="M949" s="306"/>
      <c r="N949" s="304" t="s">
        <v>96</v>
      </c>
      <c r="O949" s="306" t="s">
        <v>71</v>
      </c>
      <c r="P949" s="304">
        <v>1</v>
      </c>
      <c r="Q949" s="304">
        <v>1</v>
      </c>
      <c r="R949" s="304">
        <v>0</v>
      </c>
      <c r="S949" s="308">
        <v>0</v>
      </c>
    </row>
    <row r="950" spans="1:19" ht="96">
      <c r="A950" s="303">
        <v>945</v>
      </c>
      <c r="B950" s="304">
        <v>1652</v>
      </c>
      <c r="C950" s="304">
        <v>22</v>
      </c>
      <c r="D950" s="306" t="s">
        <v>3319</v>
      </c>
      <c r="E950" s="304" t="s">
        <v>3347</v>
      </c>
      <c r="F950" s="306" t="s">
        <v>3348</v>
      </c>
      <c r="G950" s="306"/>
      <c r="H950" s="306" t="s">
        <v>3343</v>
      </c>
      <c r="I950" s="306"/>
      <c r="J950" s="304"/>
      <c r="K950" s="304" t="s">
        <v>3180</v>
      </c>
      <c r="L950" s="304" t="s">
        <v>3323</v>
      </c>
      <c r="M950" s="306"/>
      <c r="N950" s="304" t="s">
        <v>96</v>
      </c>
      <c r="O950" s="306" t="s">
        <v>71</v>
      </c>
      <c r="P950" s="304">
        <v>1</v>
      </c>
      <c r="Q950" s="304">
        <v>1</v>
      </c>
      <c r="R950" s="304">
        <v>0</v>
      </c>
      <c r="S950" s="308">
        <v>0</v>
      </c>
    </row>
    <row r="951" spans="1:19" ht="96">
      <c r="A951" s="303">
        <v>946</v>
      </c>
      <c r="B951" s="304">
        <v>1653</v>
      </c>
      <c r="C951" s="304">
        <v>22</v>
      </c>
      <c r="D951" s="306" t="s">
        <v>3319</v>
      </c>
      <c r="E951" s="304" t="s">
        <v>3347</v>
      </c>
      <c r="F951" s="306" t="s">
        <v>3348</v>
      </c>
      <c r="G951" s="306"/>
      <c r="H951" s="306" t="s">
        <v>3350</v>
      </c>
      <c r="I951" s="306"/>
      <c r="J951" s="304"/>
      <c r="K951" s="304" t="s">
        <v>3180</v>
      </c>
      <c r="L951" s="304" t="s">
        <v>3323</v>
      </c>
      <c r="M951" s="306"/>
      <c r="N951" s="304" t="s">
        <v>96</v>
      </c>
      <c r="O951" s="306" t="s">
        <v>71</v>
      </c>
      <c r="P951" s="304">
        <v>1</v>
      </c>
      <c r="Q951" s="304">
        <v>1</v>
      </c>
      <c r="R951" s="304">
        <v>0</v>
      </c>
      <c r="S951" s="308">
        <v>0</v>
      </c>
    </row>
    <row r="952" spans="1:19" ht="120">
      <c r="A952" s="303">
        <v>947</v>
      </c>
      <c r="B952" s="304">
        <v>1654</v>
      </c>
      <c r="C952" s="304">
        <v>23</v>
      </c>
      <c r="D952" s="306" t="s">
        <v>3351</v>
      </c>
      <c r="E952" s="304">
        <v>1</v>
      </c>
      <c r="F952" s="306" t="s">
        <v>3352</v>
      </c>
      <c r="G952" s="306"/>
      <c r="H952" s="306" t="s">
        <v>3353</v>
      </c>
      <c r="I952" s="306"/>
      <c r="J952" s="304"/>
      <c r="K952" s="304" t="s">
        <v>3354</v>
      </c>
      <c r="L952" s="304" t="s">
        <v>2980</v>
      </c>
      <c r="M952" s="306"/>
      <c r="N952" s="304" t="s">
        <v>96</v>
      </c>
      <c r="O952" s="306" t="s">
        <v>71</v>
      </c>
      <c r="P952" s="304">
        <v>1</v>
      </c>
      <c r="Q952" s="304">
        <v>1</v>
      </c>
      <c r="R952" s="304">
        <v>1</v>
      </c>
      <c r="S952" s="308">
        <v>0</v>
      </c>
    </row>
    <row r="953" spans="1:19" ht="120">
      <c r="A953" s="303">
        <v>948</v>
      </c>
      <c r="B953" s="304">
        <v>1655</v>
      </c>
      <c r="C953" s="304">
        <v>23</v>
      </c>
      <c r="D953" s="306" t="s">
        <v>3351</v>
      </c>
      <c r="E953" s="304">
        <v>1</v>
      </c>
      <c r="F953" s="306" t="s">
        <v>3352</v>
      </c>
      <c r="G953" s="306"/>
      <c r="H953" s="306" t="s">
        <v>3355</v>
      </c>
      <c r="I953" s="306"/>
      <c r="J953" s="304"/>
      <c r="K953" s="304" t="s">
        <v>3354</v>
      </c>
      <c r="L953" s="304" t="s">
        <v>2980</v>
      </c>
      <c r="M953" s="306"/>
      <c r="N953" s="304" t="s">
        <v>96</v>
      </c>
      <c r="O953" s="306" t="s">
        <v>71</v>
      </c>
      <c r="P953" s="304">
        <v>1</v>
      </c>
      <c r="Q953" s="304">
        <v>1</v>
      </c>
      <c r="R953" s="304">
        <v>1</v>
      </c>
      <c r="S953" s="308">
        <v>0</v>
      </c>
    </row>
    <row r="954" spans="1:19" ht="120">
      <c r="A954" s="303">
        <v>949</v>
      </c>
      <c r="B954" s="304">
        <v>1656</v>
      </c>
      <c r="C954" s="304">
        <v>23</v>
      </c>
      <c r="D954" s="306" t="s">
        <v>3351</v>
      </c>
      <c r="E954" s="304">
        <v>1</v>
      </c>
      <c r="F954" s="306" t="s">
        <v>3352</v>
      </c>
      <c r="G954" s="306"/>
      <c r="H954" s="306" t="s">
        <v>3356</v>
      </c>
      <c r="I954" s="306"/>
      <c r="J954" s="304"/>
      <c r="K954" s="304" t="s">
        <v>3354</v>
      </c>
      <c r="L954" s="304" t="s">
        <v>2980</v>
      </c>
      <c r="M954" s="306"/>
      <c r="N954" s="304" t="s">
        <v>96</v>
      </c>
      <c r="O954" s="306" t="s">
        <v>71</v>
      </c>
      <c r="P954" s="304">
        <v>1</v>
      </c>
      <c r="Q954" s="304">
        <v>1</v>
      </c>
      <c r="R954" s="304">
        <v>1</v>
      </c>
      <c r="S954" s="308">
        <v>0</v>
      </c>
    </row>
    <row r="955" spans="1:19" ht="120">
      <c r="A955" s="303">
        <v>950</v>
      </c>
      <c r="B955" s="304">
        <v>1657</v>
      </c>
      <c r="C955" s="304">
        <v>23</v>
      </c>
      <c r="D955" s="306" t="s">
        <v>3351</v>
      </c>
      <c r="E955" s="304">
        <v>1</v>
      </c>
      <c r="F955" s="306" t="s">
        <v>3352</v>
      </c>
      <c r="G955" s="306"/>
      <c r="H955" s="306" t="s">
        <v>3357</v>
      </c>
      <c r="I955" s="306"/>
      <c r="J955" s="304"/>
      <c r="K955" s="304" t="s">
        <v>3109</v>
      </c>
      <c r="L955" s="304" t="s">
        <v>3034</v>
      </c>
      <c r="M955" s="306"/>
      <c r="N955" s="304" t="s">
        <v>96</v>
      </c>
      <c r="O955" s="306" t="s">
        <v>71</v>
      </c>
      <c r="P955" s="304">
        <v>1</v>
      </c>
      <c r="Q955" s="304">
        <v>1</v>
      </c>
      <c r="R955" s="304">
        <v>1</v>
      </c>
      <c r="S955" s="308">
        <v>0</v>
      </c>
    </row>
    <row r="956" spans="1:19" ht="72">
      <c r="A956" s="303">
        <v>951</v>
      </c>
      <c r="B956" s="304">
        <v>1658</v>
      </c>
      <c r="C956" s="304">
        <v>23</v>
      </c>
      <c r="D956" s="306" t="s">
        <v>3351</v>
      </c>
      <c r="E956" s="304">
        <v>2</v>
      </c>
      <c r="F956" s="306" t="s">
        <v>3358</v>
      </c>
      <c r="G956" s="306"/>
      <c r="H956" s="306" t="s">
        <v>3359</v>
      </c>
      <c r="I956" s="306"/>
      <c r="J956" s="304"/>
      <c r="K956" s="304" t="s">
        <v>3354</v>
      </c>
      <c r="L956" s="304" t="s">
        <v>2980</v>
      </c>
      <c r="M956" s="306"/>
      <c r="N956" s="304" t="s">
        <v>96</v>
      </c>
      <c r="O956" s="306" t="s">
        <v>71</v>
      </c>
      <c r="P956" s="304">
        <v>1</v>
      </c>
      <c r="Q956" s="304">
        <v>1</v>
      </c>
      <c r="R956" s="304">
        <v>1</v>
      </c>
      <c r="S956" s="308">
        <v>0</v>
      </c>
    </row>
    <row r="957" spans="1:19" ht="72">
      <c r="A957" s="303">
        <v>952</v>
      </c>
      <c r="B957" s="304">
        <v>1659</v>
      </c>
      <c r="C957" s="304">
        <v>23</v>
      </c>
      <c r="D957" s="306" t="s">
        <v>3351</v>
      </c>
      <c r="E957" s="304">
        <v>2</v>
      </c>
      <c r="F957" s="306" t="s">
        <v>3358</v>
      </c>
      <c r="G957" s="306"/>
      <c r="H957" s="306" t="s">
        <v>3360</v>
      </c>
      <c r="I957" s="306"/>
      <c r="J957" s="304"/>
      <c r="K957" s="304" t="s">
        <v>3354</v>
      </c>
      <c r="L957" s="304" t="s">
        <v>2980</v>
      </c>
      <c r="M957" s="306"/>
      <c r="N957" s="304" t="s">
        <v>96</v>
      </c>
      <c r="O957" s="306" t="s">
        <v>71</v>
      </c>
      <c r="P957" s="304">
        <v>1</v>
      </c>
      <c r="Q957" s="304">
        <v>1</v>
      </c>
      <c r="R957" s="304">
        <v>1</v>
      </c>
      <c r="S957" s="308">
        <v>0</v>
      </c>
    </row>
    <row r="958" spans="1:19" ht="72">
      <c r="A958" s="303">
        <v>953</v>
      </c>
      <c r="B958" s="304">
        <v>1660</v>
      </c>
      <c r="C958" s="304">
        <v>23</v>
      </c>
      <c r="D958" s="306" t="s">
        <v>3351</v>
      </c>
      <c r="E958" s="304">
        <v>2</v>
      </c>
      <c r="F958" s="306" t="s">
        <v>3358</v>
      </c>
      <c r="G958" s="306"/>
      <c r="H958" s="306" t="s">
        <v>3361</v>
      </c>
      <c r="I958" s="306"/>
      <c r="J958" s="304"/>
      <c r="K958" s="304" t="s">
        <v>3354</v>
      </c>
      <c r="L958" s="304" t="s">
        <v>2980</v>
      </c>
      <c r="M958" s="306"/>
      <c r="N958" s="304" t="s">
        <v>96</v>
      </c>
      <c r="O958" s="306" t="s">
        <v>71</v>
      </c>
      <c r="P958" s="304">
        <v>1</v>
      </c>
      <c r="Q958" s="304">
        <v>1</v>
      </c>
      <c r="R958" s="304">
        <v>1</v>
      </c>
      <c r="S958" s="308">
        <v>0</v>
      </c>
    </row>
    <row r="959" spans="1:19" ht="72">
      <c r="A959" s="303">
        <v>954</v>
      </c>
      <c r="B959" s="304">
        <v>1661</v>
      </c>
      <c r="C959" s="304">
        <v>23</v>
      </c>
      <c r="D959" s="306" t="s">
        <v>3351</v>
      </c>
      <c r="E959" s="304">
        <v>2</v>
      </c>
      <c r="F959" s="306" t="s">
        <v>3358</v>
      </c>
      <c r="G959" s="306"/>
      <c r="H959" s="306" t="s">
        <v>3362</v>
      </c>
      <c r="I959" s="306"/>
      <c r="J959" s="304"/>
      <c r="K959" s="304" t="s">
        <v>3354</v>
      </c>
      <c r="L959" s="304" t="s">
        <v>2980</v>
      </c>
      <c r="M959" s="306"/>
      <c r="N959" s="304" t="s">
        <v>96</v>
      </c>
      <c r="O959" s="306" t="s">
        <v>71</v>
      </c>
      <c r="P959" s="304">
        <v>1</v>
      </c>
      <c r="Q959" s="304">
        <v>1</v>
      </c>
      <c r="R959" s="304">
        <v>1</v>
      </c>
      <c r="S959" s="308">
        <v>0</v>
      </c>
    </row>
    <row r="960" spans="1:19" ht="72">
      <c r="A960" s="303">
        <v>955</v>
      </c>
      <c r="B960" s="304">
        <v>1662</v>
      </c>
      <c r="C960" s="304">
        <v>23</v>
      </c>
      <c r="D960" s="306" t="s">
        <v>3351</v>
      </c>
      <c r="E960" s="304">
        <v>2</v>
      </c>
      <c r="F960" s="306" t="s">
        <v>3358</v>
      </c>
      <c r="G960" s="306"/>
      <c r="H960" s="306" t="s">
        <v>3363</v>
      </c>
      <c r="I960" s="306"/>
      <c r="J960" s="304"/>
      <c r="K960" s="304" t="s">
        <v>3354</v>
      </c>
      <c r="L960" s="304" t="s">
        <v>2980</v>
      </c>
      <c r="M960" s="306"/>
      <c r="N960" s="304" t="s">
        <v>96</v>
      </c>
      <c r="O960" s="306" t="s">
        <v>71</v>
      </c>
      <c r="P960" s="304">
        <v>1</v>
      </c>
      <c r="Q960" s="304">
        <v>1</v>
      </c>
      <c r="R960" s="304">
        <v>1</v>
      </c>
      <c r="S960" s="308">
        <v>0</v>
      </c>
    </row>
    <row r="961" spans="1:19" ht="132">
      <c r="A961" s="303">
        <v>956</v>
      </c>
      <c r="B961" s="304">
        <v>1663</v>
      </c>
      <c r="C961" s="304">
        <v>23</v>
      </c>
      <c r="D961" s="306" t="s">
        <v>3351</v>
      </c>
      <c r="E961" s="304">
        <v>2</v>
      </c>
      <c r="F961" s="306" t="s">
        <v>3358</v>
      </c>
      <c r="G961" s="306"/>
      <c r="H961" s="306" t="s">
        <v>3364</v>
      </c>
      <c r="I961" s="306" t="s">
        <v>3365</v>
      </c>
      <c r="J961" s="304"/>
      <c r="K961" s="304" t="s">
        <v>3069</v>
      </c>
      <c r="L961" s="304" t="s">
        <v>2980</v>
      </c>
      <c r="M961" s="306"/>
      <c r="N961" s="304" t="s">
        <v>96</v>
      </c>
      <c r="O961" s="306" t="s">
        <v>5</v>
      </c>
      <c r="P961" s="304">
        <v>1</v>
      </c>
      <c r="Q961" s="304">
        <v>1</v>
      </c>
      <c r="R961" s="304">
        <v>1</v>
      </c>
      <c r="S961" s="308">
        <v>0</v>
      </c>
    </row>
    <row r="962" spans="1:19" ht="72">
      <c r="A962" s="303">
        <v>957</v>
      </c>
      <c r="B962" s="304">
        <v>1664</v>
      </c>
      <c r="C962" s="304">
        <v>23</v>
      </c>
      <c r="D962" s="306" t="s">
        <v>3351</v>
      </c>
      <c r="E962" s="304">
        <v>2</v>
      </c>
      <c r="F962" s="306" t="s">
        <v>3358</v>
      </c>
      <c r="G962" s="306"/>
      <c r="H962" s="306" t="s">
        <v>3366</v>
      </c>
      <c r="I962" s="306"/>
      <c r="J962" s="304"/>
      <c r="K962" s="304" t="s">
        <v>3354</v>
      </c>
      <c r="L962" s="304" t="s">
        <v>2980</v>
      </c>
      <c r="M962" s="306"/>
      <c r="N962" s="304" t="s">
        <v>96</v>
      </c>
      <c r="O962" s="306" t="s">
        <v>71</v>
      </c>
      <c r="P962" s="304">
        <v>1</v>
      </c>
      <c r="Q962" s="304">
        <v>1</v>
      </c>
      <c r="R962" s="304">
        <v>1</v>
      </c>
      <c r="S962" s="308">
        <v>0</v>
      </c>
    </row>
    <row r="963" spans="1:19" ht="72">
      <c r="A963" s="303">
        <v>958</v>
      </c>
      <c r="B963" s="304">
        <v>1665</v>
      </c>
      <c r="C963" s="304">
        <v>23</v>
      </c>
      <c r="D963" s="306" t="s">
        <v>3351</v>
      </c>
      <c r="E963" s="304">
        <v>2</v>
      </c>
      <c r="F963" s="306" t="s">
        <v>3358</v>
      </c>
      <c r="G963" s="306"/>
      <c r="H963" s="306" t="s">
        <v>3367</v>
      </c>
      <c r="I963" s="306"/>
      <c r="J963" s="304"/>
      <c r="K963" s="304" t="s">
        <v>3354</v>
      </c>
      <c r="L963" s="304" t="s">
        <v>2980</v>
      </c>
      <c r="M963" s="306"/>
      <c r="N963" s="304" t="s">
        <v>96</v>
      </c>
      <c r="O963" s="306" t="s">
        <v>71</v>
      </c>
      <c r="P963" s="304">
        <v>1</v>
      </c>
      <c r="Q963" s="304">
        <v>1</v>
      </c>
      <c r="R963" s="304">
        <v>1</v>
      </c>
      <c r="S963" s="308">
        <v>0</v>
      </c>
    </row>
    <row r="964" spans="1:19" ht="72">
      <c r="A964" s="303">
        <v>959</v>
      </c>
      <c r="B964" s="304">
        <v>1666</v>
      </c>
      <c r="C964" s="304">
        <v>23</v>
      </c>
      <c r="D964" s="306" t="s">
        <v>3351</v>
      </c>
      <c r="E964" s="304">
        <v>3</v>
      </c>
      <c r="F964" s="306" t="s">
        <v>3368</v>
      </c>
      <c r="G964" s="306"/>
      <c r="H964" s="306" t="s">
        <v>3369</v>
      </c>
      <c r="I964" s="306"/>
      <c r="J964" s="304"/>
      <c r="K964" s="304" t="s">
        <v>3354</v>
      </c>
      <c r="L964" s="304" t="s">
        <v>2980</v>
      </c>
      <c r="M964" s="306"/>
      <c r="N964" s="304" t="s">
        <v>96</v>
      </c>
      <c r="O964" s="306" t="s">
        <v>71</v>
      </c>
      <c r="P964" s="304">
        <v>1</v>
      </c>
      <c r="Q964" s="304">
        <v>1</v>
      </c>
      <c r="R964" s="304">
        <v>1</v>
      </c>
      <c r="S964" s="308">
        <v>0</v>
      </c>
    </row>
    <row r="965" spans="1:19" ht="72">
      <c r="A965" s="303">
        <v>960</v>
      </c>
      <c r="B965" s="304">
        <v>1667</v>
      </c>
      <c r="C965" s="304">
        <v>23</v>
      </c>
      <c r="D965" s="306" t="s">
        <v>3351</v>
      </c>
      <c r="E965" s="304">
        <v>3</v>
      </c>
      <c r="F965" s="306" t="s">
        <v>3368</v>
      </c>
      <c r="G965" s="306"/>
      <c r="H965" s="306" t="s">
        <v>3370</v>
      </c>
      <c r="I965" s="306"/>
      <c r="J965" s="304"/>
      <c r="K965" s="304" t="s">
        <v>3354</v>
      </c>
      <c r="L965" s="304" t="s">
        <v>2980</v>
      </c>
      <c r="M965" s="306"/>
      <c r="N965" s="304" t="s">
        <v>96</v>
      </c>
      <c r="O965" s="306" t="s">
        <v>71</v>
      </c>
      <c r="P965" s="304">
        <v>1</v>
      </c>
      <c r="Q965" s="304">
        <v>1</v>
      </c>
      <c r="R965" s="304">
        <v>1</v>
      </c>
      <c r="S965" s="308">
        <v>0</v>
      </c>
    </row>
    <row r="966" spans="1:19" ht="72">
      <c r="A966" s="303">
        <v>961</v>
      </c>
      <c r="B966" s="304">
        <v>1668</v>
      </c>
      <c r="C966" s="304">
        <v>23</v>
      </c>
      <c r="D966" s="306" t="s">
        <v>3351</v>
      </c>
      <c r="E966" s="304">
        <v>3</v>
      </c>
      <c r="F966" s="306" t="s">
        <v>3368</v>
      </c>
      <c r="G966" s="306"/>
      <c r="H966" s="306" t="s">
        <v>3371</v>
      </c>
      <c r="I966" s="306"/>
      <c r="J966" s="304"/>
      <c r="K966" s="304" t="s">
        <v>3354</v>
      </c>
      <c r="L966" s="304" t="s">
        <v>3178</v>
      </c>
      <c r="M966" s="306"/>
      <c r="N966" s="304" t="s">
        <v>96</v>
      </c>
      <c r="O966" s="306" t="s">
        <v>71</v>
      </c>
      <c r="P966" s="304">
        <v>1</v>
      </c>
      <c r="Q966" s="304">
        <v>1</v>
      </c>
      <c r="R966" s="304">
        <v>1</v>
      </c>
      <c r="S966" s="308">
        <v>0</v>
      </c>
    </row>
    <row r="967" spans="1:19" ht="72">
      <c r="A967" s="303">
        <v>962</v>
      </c>
      <c r="B967" s="304">
        <v>1669</v>
      </c>
      <c r="C967" s="304">
        <v>23</v>
      </c>
      <c r="D967" s="306" t="s">
        <v>3351</v>
      </c>
      <c r="E967" s="304">
        <v>3</v>
      </c>
      <c r="F967" s="306" t="s">
        <v>3368</v>
      </c>
      <c r="G967" s="306"/>
      <c r="H967" s="306" t="s">
        <v>3372</v>
      </c>
      <c r="I967" s="306"/>
      <c r="J967" s="304"/>
      <c r="K967" s="304" t="s">
        <v>3354</v>
      </c>
      <c r="L967" s="304" t="s">
        <v>2980</v>
      </c>
      <c r="M967" s="306"/>
      <c r="N967" s="304" t="s">
        <v>96</v>
      </c>
      <c r="O967" s="306" t="s">
        <v>71</v>
      </c>
      <c r="P967" s="304">
        <v>1</v>
      </c>
      <c r="Q967" s="304">
        <v>1</v>
      </c>
      <c r="R967" s="304">
        <v>1</v>
      </c>
      <c r="S967" s="308">
        <v>0</v>
      </c>
    </row>
    <row r="968" spans="1:19" ht="72">
      <c r="A968" s="303">
        <v>963</v>
      </c>
      <c r="B968" s="304">
        <v>1670</v>
      </c>
      <c r="C968" s="304">
        <v>23</v>
      </c>
      <c r="D968" s="306" t="s">
        <v>3351</v>
      </c>
      <c r="E968" s="304">
        <v>3</v>
      </c>
      <c r="F968" s="306" t="s">
        <v>3368</v>
      </c>
      <c r="G968" s="306"/>
      <c r="H968" s="306" t="s">
        <v>3373</v>
      </c>
      <c r="I968" s="306"/>
      <c r="J968" s="304"/>
      <c r="K968" s="304" t="s">
        <v>3354</v>
      </c>
      <c r="L968" s="304" t="s">
        <v>2980</v>
      </c>
      <c r="M968" s="306"/>
      <c r="N968" s="304" t="s">
        <v>96</v>
      </c>
      <c r="O968" s="306" t="s">
        <v>71</v>
      </c>
      <c r="P968" s="304">
        <v>1</v>
      </c>
      <c r="Q968" s="304">
        <v>1</v>
      </c>
      <c r="R968" s="304">
        <v>1</v>
      </c>
      <c r="S968" s="308">
        <v>0</v>
      </c>
    </row>
    <row r="969" spans="1:19" ht="72">
      <c r="A969" s="303">
        <v>964</v>
      </c>
      <c r="B969" s="304">
        <v>1671</v>
      </c>
      <c r="C969" s="304">
        <v>23</v>
      </c>
      <c r="D969" s="306" t="s">
        <v>3351</v>
      </c>
      <c r="E969" s="304">
        <v>3</v>
      </c>
      <c r="F969" s="306" t="s">
        <v>3368</v>
      </c>
      <c r="G969" s="306"/>
      <c r="H969" s="306" t="s">
        <v>3374</v>
      </c>
      <c r="I969" s="306"/>
      <c r="J969" s="304"/>
      <c r="K969" s="304" t="s">
        <v>3354</v>
      </c>
      <c r="L969" s="304" t="s">
        <v>2980</v>
      </c>
      <c r="M969" s="306"/>
      <c r="N969" s="304" t="s">
        <v>96</v>
      </c>
      <c r="O969" s="306" t="s">
        <v>71</v>
      </c>
      <c r="P969" s="304">
        <v>1</v>
      </c>
      <c r="Q969" s="304">
        <v>1</v>
      </c>
      <c r="R969" s="304">
        <v>1</v>
      </c>
      <c r="S969" s="308">
        <v>0</v>
      </c>
    </row>
    <row r="970" spans="1:19" ht="405">
      <c r="A970" s="303">
        <v>965</v>
      </c>
      <c r="B970" s="304">
        <v>1672</v>
      </c>
      <c r="C970" s="304">
        <v>23</v>
      </c>
      <c r="D970" s="306" t="s">
        <v>3351</v>
      </c>
      <c r="E970" s="304">
        <v>4</v>
      </c>
      <c r="F970" s="306" t="s">
        <v>3375</v>
      </c>
      <c r="G970" s="306"/>
      <c r="H970" s="306" t="s">
        <v>3376</v>
      </c>
      <c r="I970" s="306" t="s">
        <v>3377</v>
      </c>
      <c r="J970" s="304"/>
      <c r="K970" s="304" t="s">
        <v>3354</v>
      </c>
      <c r="L970" s="304" t="s">
        <v>2980</v>
      </c>
      <c r="M970" s="306"/>
      <c r="N970" s="304" t="s">
        <v>96</v>
      </c>
      <c r="O970" s="306" t="s">
        <v>71</v>
      </c>
      <c r="P970" s="304">
        <v>1</v>
      </c>
      <c r="Q970" s="304">
        <v>1</v>
      </c>
      <c r="R970" s="304">
        <v>1</v>
      </c>
      <c r="S970" s="308">
        <v>0</v>
      </c>
    </row>
    <row r="971" spans="1:19" ht="72">
      <c r="A971" s="303">
        <v>966</v>
      </c>
      <c r="B971" s="304">
        <v>1673</v>
      </c>
      <c r="C971" s="304">
        <v>23</v>
      </c>
      <c r="D971" s="306" t="s">
        <v>3351</v>
      </c>
      <c r="E971" s="304">
        <v>4</v>
      </c>
      <c r="F971" s="306" t="s">
        <v>3375</v>
      </c>
      <c r="G971" s="306"/>
      <c r="H971" s="306" t="s">
        <v>3378</v>
      </c>
      <c r="I971" s="306"/>
      <c r="J971" s="304"/>
      <c r="K971" s="304" t="s">
        <v>3354</v>
      </c>
      <c r="L971" s="304" t="s">
        <v>3178</v>
      </c>
      <c r="M971" s="306"/>
      <c r="N971" s="304" t="s">
        <v>96</v>
      </c>
      <c r="O971" s="306" t="s">
        <v>71</v>
      </c>
      <c r="P971" s="304">
        <v>1</v>
      </c>
      <c r="Q971" s="304">
        <v>1</v>
      </c>
      <c r="R971" s="304">
        <v>1</v>
      </c>
      <c r="S971" s="308">
        <v>0</v>
      </c>
    </row>
    <row r="972" spans="1:19" ht="72">
      <c r="A972" s="303">
        <v>967</v>
      </c>
      <c r="B972" s="304">
        <v>1674</v>
      </c>
      <c r="C972" s="304">
        <v>23</v>
      </c>
      <c r="D972" s="306" t="s">
        <v>3351</v>
      </c>
      <c r="E972" s="304">
        <v>4</v>
      </c>
      <c r="F972" s="306" t="s">
        <v>3375</v>
      </c>
      <c r="G972" s="306"/>
      <c r="H972" s="306" t="s">
        <v>3379</v>
      </c>
      <c r="I972" s="306"/>
      <c r="J972" s="304"/>
      <c r="K972" s="304" t="s">
        <v>3354</v>
      </c>
      <c r="L972" s="304" t="s">
        <v>2980</v>
      </c>
      <c r="M972" s="306"/>
      <c r="N972" s="304" t="s">
        <v>96</v>
      </c>
      <c r="O972" s="306" t="s">
        <v>71</v>
      </c>
      <c r="P972" s="304">
        <v>1</v>
      </c>
      <c r="Q972" s="304">
        <v>1</v>
      </c>
      <c r="R972" s="304">
        <v>1</v>
      </c>
      <c r="S972" s="308">
        <v>0</v>
      </c>
    </row>
    <row r="973" spans="1:19" ht="72">
      <c r="A973" s="303">
        <v>968</v>
      </c>
      <c r="B973" s="304">
        <v>1675</v>
      </c>
      <c r="C973" s="304">
        <v>23</v>
      </c>
      <c r="D973" s="306" t="s">
        <v>3351</v>
      </c>
      <c r="E973" s="304">
        <v>4</v>
      </c>
      <c r="F973" s="306" t="s">
        <v>3375</v>
      </c>
      <c r="G973" s="306"/>
      <c r="H973" s="306" t="s">
        <v>3380</v>
      </c>
      <c r="I973" s="306"/>
      <c r="J973" s="304"/>
      <c r="K973" s="304" t="s">
        <v>3354</v>
      </c>
      <c r="L973" s="304" t="s">
        <v>2980</v>
      </c>
      <c r="M973" s="306"/>
      <c r="N973" s="304" t="s">
        <v>96</v>
      </c>
      <c r="O973" s="306" t="s">
        <v>71</v>
      </c>
      <c r="P973" s="304">
        <v>1</v>
      </c>
      <c r="Q973" s="304">
        <v>1</v>
      </c>
      <c r="R973" s="304">
        <v>1</v>
      </c>
      <c r="S973" s="308">
        <v>0</v>
      </c>
    </row>
    <row r="974" spans="1:19" ht="72">
      <c r="A974" s="303">
        <v>969</v>
      </c>
      <c r="B974" s="304">
        <v>1676</v>
      </c>
      <c r="C974" s="304">
        <v>23</v>
      </c>
      <c r="D974" s="306" t="s">
        <v>3351</v>
      </c>
      <c r="E974" s="304">
        <v>4</v>
      </c>
      <c r="F974" s="306" t="s">
        <v>3375</v>
      </c>
      <c r="G974" s="306"/>
      <c r="H974" s="306" t="s">
        <v>3381</v>
      </c>
      <c r="I974" s="306"/>
      <c r="J974" s="304"/>
      <c r="K974" s="304" t="s">
        <v>3354</v>
      </c>
      <c r="L974" s="304" t="s">
        <v>2980</v>
      </c>
      <c r="M974" s="306"/>
      <c r="N974" s="304" t="s">
        <v>96</v>
      </c>
      <c r="O974" s="306" t="s">
        <v>71</v>
      </c>
      <c r="P974" s="304">
        <v>1</v>
      </c>
      <c r="Q974" s="304">
        <v>1</v>
      </c>
      <c r="R974" s="304">
        <v>1</v>
      </c>
      <c r="S974" s="308">
        <v>0</v>
      </c>
    </row>
    <row r="975" spans="1:19" ht="72">
      <c r="A975" s="303">
        <v>970</v>
      </c>
      <c r="B975" s="304">
        <v>1677</v>
      </c>
      <c r="C975" s="304">
        <v>23</v>
      </c>
      <c r="D975" s="306" t="s">
        <v>3351</v>
      </c>
      <c r="E975" s="304">
        <v>4</v>
      </c>
      <c r="F975" s="306" t="s">
        <v>3375</v>
      </c>
      <c r="G975" s="306"/>
      <c r="H975" s="306" t="s">
        <v>3382</v>
      </c>
      <c r="I975" s="306"/>
      <c r="J975" s="304"/>
      <c r="K975" s="304" t="s">
        <v>3354</v>
      </c>
      <c r="L975" s="304" t="s">
        <v>2980</v>
      </c>
      <c r="M975" s="306"/>
      <c r="N975" s="304" t="s">
        <v>96</v>
      </c>
      <c r="O975" s="306" t="s">
        <v>71</v>
      </c>
      <c r="P975" s="304">
        <v>1</v>
      </c>
      <c r="Q975" s="304">
        <v>1</v>
      </c>
      <c r="R975" s="304">
        <v>1</v>
      </c>
      <c r="S975" s="308">
        <v>0</v>
      </c>
    </row>
    <row r="976" spans="1:19" ht="72">
      <c r="A976" s="303">
        <v>971</v>
      </c>
      <c r="B976" s="304">
        <v>1678</v>
      </c>
      <c r="C976" s="304">
        <v>23</v>
      </c>
      <c r="D976" s="306" t="s">
        <v>3351</v>
      </c>
      <c r="E976" s="304">
        <v>4</v>
      </c>
      <c r="F976" s="306" t="s">
        <v>3375</v>
      </c>
      <c r="G976" s="306"/>
      <c r="H976" s="306" t="s">
        <v>3383</v>
      </c>
      <c r="I976" s="306"/>
      <c r="J976" s="304"/>
      <c r="K976" s="304" t="s">
        <v>3354</v>
      </c>
      <c r="L976" s="304" t="s">
        <v>2980</v>
      </c>
      <c r="M976" s="306"/>
      <c r="N976" s="304" t="s">
        <v>96</v>
      </c>
      <c r="O976" s="306" t="s">
        <v>71</v>
      </c>
      <c r="P976" s="304">
        <v>1</v>
      </c>
      <c r="Q976" s="304">
        <v>1</v>
      </c>
      <c r="R976" s="304">
        <v>1</v>
      </c>
      <c r="S976" s="308">
        <v>0</v>
      </c>
    </row>
    <row r="977" spans="1:19" ht="72">
      <c r="A977" s="303">
        <v>972</v>
      </c>
      <c r="B977" s="304">
        <v>1679</v>
      </c>
      <c r="C977" s="304">
        <v>23</v>
      </c>
      <c r="D977" s="306" t="s">
        <v>3351</v>
      </c>
      <c r="E977" s="304">
        <v>4</v>
      </c>
      <c r="F977" s="306" t="s">
        <v>3375</v>
      </c>
      <c r="G977" s="306"/>
      <c r="H977" s="306" t="s">
        <v>3384</v>
      </c>
      <c r="I977" s="306"/>
      <c r="J977" s="304"/>
      <c r="K977" s="304" t="s">
        <v>3354</v>
      </c>
      <c r="L977" s="304" t="s">
        <v>2980</v>
      </c>
      <c r="M977" s="306"/>
      <c r="N977" s="304" t="s">
        <v>96</v>
      </c>
      <c r="O977" s="306" t="s">
        <v>71</v>
      </c>
      <c r="P977" s="304">
        <v>1</v>
      </c>
      <c r="Q977" s="304">
        <v>1</v>
      </c>
      <c r="R977" s="304">
        <v>1</v>
      </c>
      <c r="S977" s="308">
        <v>0</v>
      </c>
    </row>
    <row r="978" spans="1:19" ht="72">
      <c r="A978" s="303">
        <v>973</v>
      </c>
      <c r="B978" s="304">
        <v>1680</v>
      </c>
      <c r="C978" s="304">
        <v>23</v>
      </c>
      <c r="D978" s="306" t="s">
        <v>3351</v>
      </c>
      <c r="E978" s="304">
        <v>4</v>
      </c>
      <c r="F978" s="306" t="s">
        <v>3375</v>
      </c>
      <c r="G978" s="306"/>
      <c r="H978" s="306" t="s">
        <v>3385</v>
      </c>
      <c r="I978" s="306"/>
      <c r="J978" s="304"/>
      <c r="K978" s="304" t="s">
        <v>3354</v>
      </c>
      <c r="L978" s="304" t="s">
        <v>2980</v>
      </c>
      <c r="M978" s="306"/>
      <c r="N978" s="304" t="s">
        <v>96</v>
      </c>
      <c r="O978" s="306" t="s">
        <v>71</v>
      </c>
      <c r="P978" s="304">
        <v>1</v>
      </c>
      <c r="Q978" s="304">
        <v>1</v>
      </c>
      <c r="R978" s="304">
        <v>1</v>
      </c>
      <c r="S978" s="308">
        <v>0</v>
      </c>
    </row>
    <row r="979" spans="1:19" ht="72">
      <c r="A979" s="303">
        <v>974</v>
      </c>
      <c r="B979" s="304">
        <v>1681</v>
      </c>
      <c r="C979" s="304">
        <v>23</v>
      </c>
      <c r="D979" s="306" t="s">
        <v>3351</v>
      </c>
      <c r="E979" s="304">
        <v>4</v>
      </c>
      <c r="F979" s="306" t="s">
        <v>3375</v>
      </c>
      <c r="G979" s="306"/>
      <c r="H979" s="306" t="s">
        <v>3386</v>
      </c>
      <c r="I979" s="306"/>
      <c r="J979" s="304"/>
      <c r="K979" s="304" t="s">
        <v>3354</v>
      </c>
      <c r="L979" s="304" t="s">
        <v>2980</v>
      </c>
      <c r="M979" s="306"/>
      <c r="N979" s="304" t="s">
        <v>96</v>
      </c>
      <c r="O979" s="306" t="s">
        <v>71</v>
      </c>
      <c r="P979" s="304">
        <v>1</v>
      </c>
      <c r="Q979" s="304">
        <v>1</v>
      </c>
      <c r="R979" s="304">
        <v>1</v>
      </c>
      <c r="S979" s="308">
        <v>0</v>
      </c>
    </row>
    <row r="980" spans="1:19" ht="72">
      <c r="A980" s="303">
        <v>975</v>
      </c>
      <c r="B980" s="304">
        <v>1682</v>
      </c>
      <c r="C980" s="304">
        <v>23</v>
      </c>
      <c r="D980" s="306" t="s">
        <v>3351</v>
      </c>
      <c r="E980" s="304">
        <v>4</v>
      </c>
      <c r="F980" s="306" t="s">
        <v>3375</v>
      </c>
      <c r="G980" s="306"/>
      <c r="H980" s="306" t="s">
        <v>3387</v>
      </c>
      <c r="I980" s="306"/>
      <c r="J980" s="304"/>
      <c r="K980" s="304" t="s">
        <v>3354</v>
      </c>
      <c r="L980" s="304" t="s">
        <v>2980</v>
      </c>
      <c r="M980" s="306"/>
      <c r="N980" s="304" t="s">
        <v>96</v>
      </c>
      <c r="O980" s="306" t="s">
        <v>71</v>
      </c>
      <c r="P980" s="304">
        <v>1</v>
      </c>
      <c r="Q980" s="304">
        <v>1</v>
      </c>
      <c r="R980" s="304">
        <v>1</v>
      </c>
      <c r="S980" s="308">
        <v>0</v>
      </c>
    </row>
    <row r="981" spans="1:19" ht="72">
      <c r="A981" s="303">
        <v>976</v>
      </c>
      <c r="B981" s="304">
        <v>1683</v>
      </c>
      <c r="C981" s="304">
        <v>23</v>
      </c>
      <c r="D981" s="306" t="s">
        <v>3351</v>
      </c>
      <c r="E981" s="304">
        <v>4</v>
      </c>
      <c r="F981" s="306" t="s">
        <v>3375</v>
      </c>
      <c r="G981" s="306"/>
      <c r="H981" s="306" t="s">
        <v>3388</v>
      </c>
      <c r="I981" s="306"/>
      <c r="J981" s="304"/>
      <c r="K981" s="304" t="s">
        <v>3354</v>
      </c>
      <c r="L981" s="304" t="s">
        <v>2980</v>
      </c>
      <c r="M981" s="306"/>
      <c r="N981" s="304" t="s">
        <v>96</v>
      </c>
      <c r="O981" s="306" t="s">
        <v>71</v>
      </c>
      <c r="P981" s="304">
        <v>1</v>
      </c>
      <c r="Q981" s="304">
        <v>1</v>
      </c>
      <c r="R981" s="304">
        <v>1</v>
      </c>
      <c r="S981" s="308">
        <v>0</v>
      </c>
    </row>
    <row r="982" spans="1:19" ht="132">
      <c r="A982" s="303">
        <v>977</v>
      </c>
      <c r="B982" s="304">
        <v>1713</v>
      </c>
      <c r="C982" s="304">
        <v>25</v>
      </c>
      <c r="D982" s="306" t="s">
        <v>1698</v>
      </c>
      <c r="E982" s="304" t="s">
        <v>8</v>
      </c>
      <c r="F982" s="306" t="s">
        <v>3389</v>
      </c>
      <c r="G982" s="306"/>
      <c r="H982" s="306" t="s">
        <v>3390</v>
      </c>
      <c r="I982" s="306"/>
      <c r="J982" s="304"/>
      <c r="K982" s="304" t="s">
        <v>3156</v>
      </c>
      <c r="L982" s="304" t="s">
        <v>3046</v>
      </c>
      <c r="M982" s="306"/>
      <c r="N982" s="304" t="s">
        <v>96</v>
      </c>
      <c r="O982" s="306" t="s">
        <v>71</v>
      </c>
      <c r="P982" s="304">
        <v>0</v>
      </c>
      <c r="Q982" s="304">
        <v>0</v>
      </c>
      <c r="R982" s="304">
        <v>1</v>
      </c>
      <c r="S982" s="308">
        <v>0</v>
      </c>
    </row>
    <row r="983" spans="1:19" ht="132">
      <c r="A983" s="303">
        <v>978</v>
      </c>
      <c r="B983" s="304">
        <v>1714</v>
      </c>
      <c r="C983" s="304">
        <v>25</v>
      </c>
      <c r="D983" s="306" t="s">
        <v>1698</v>
      </c>
      <c r="E983" s="304" t="s">
        <v>8</v>
      </c>
      <c r="F983" s="306" t="s">
        <v>3389</v>
      </c>
      <c r="G983" s="306"/>
      <c r="H983" s="306" t="s">
        <v>3391</v>
      </c>
      <c r="I983" s="306"/>
      <c r="J983" s="304"/>
      <c r="K983" s="304" t="s">
        <v>3156</v>
      </c>
      <c r="L983" s="304" t="s">
        <v>3046</v>
      </c>
      <c r="M983" s="306"/>
      <c r="N983" s="304" t="s">
        <v>96</v>
      </c>
      <c r="O983" s="306" t="s">
        <v>71</v>
      </c>
      <c r="P983" s="304">
        <v>0</v>
      </c>
      <c r="Q983" s="304">
        <v>0</v>
      </c>
      <c r="R983" s="304">
        <v>1</v>
      </c>
      <c r="S983" s="308">
        <v>0</v>
      </c>
    </row>
    <row r="984" spans="1:19" ht="132">
      <c r="A984" s="303">
        <v>979</v>
      </c>
      <c r="B984" s="304">
        <v>1715</v>
      </c>
      <c r="C984" s="304">
        <v>25</v>
      </c>
      <c r="D984" s="306" t="s">
        <v>1698</v>
      </c>
      <c r="E984" s="304" t="s">
        <v>8</v>
      </c>
      <c r="F984" s="306" t="s">
        <v>3389</v>
      </c>
      <c r="G984" s="306"/>
      <c r="H984" s="306" t="s">
        <v>3392</v>
      </c>
      <c r="I984" s="306"/>
      <c r="J984" s="304"/>
      <c r="K984" s="304" t="s">
        <v>3156</v>
      </c>
      <c r="L984" s="304" t="s">
        <v>3046</v>
      </c>
      <c r="M984" s="306"/>
      <c r="N984" s="304" t="s">
        <v>96</v>
      </c>
      <c r="O984" s="306" t="s">
        <v>71</v>
      </c>
      <c r="P984" s="304">
        <v>0</v>
      </c>
      <c r="Q984" s="304">
        <v>0</v>
      </c>
      <c r="R984" s="304">
        <v>1</v>
      </c>
      <c r="S984" s="308">
        <v>0</v>
      </c>
    </row>
    <row r="985" spans="1:19" ht="132">
      <c r="A985" s="303">
        <v>980</v>
      </c>
      <c r="B985" s="304">
        <v>1716</v>
      </c>
      <c r="C985" s="304">
        <v>25</v>
      </c>
      <c r="D985" s="306" t="s">
        <v>1698</v>
      </c>
      <c r="E985" s="304" t="s">
        <v>1728</v>
      </c>
      <c r="F985" s="306" t="s">
        <v>3393</v>
      </c>
      <c r="G985" s="306"/>
      <c r="H985" s="306" t="s">
        <v>3394</v>
      </c>
      <c r="I985" s="306"/>
      <c r="J985" s="304"/>
      <c r="K985" s="304" t="s">
        <v>3069</v>
      </c>
      <c r="L985" s="304" t="s">
        <v>3046</v>
      </c>
      <c r="M985" s="306"/>
      <c r="N985" s="304" t="s">
        <v>96</v>
      </c>
      <c r="O985" s="306" t="s">
        <v>71</v>
      </c>
      <c r="P985" s="304">
        <v>0</v>
      </c>
      <c r="Q985" s="304">
        <v>0</v>
      </c>
      <c r="R985" s="304">
        <v>1</v>
      </c>
      <c r="S985" s="308">
        <v>0</v>
      </c>
    </row>
    <row r="986" spans="1:19" ht="132">
      <c r="A986" s="303">
        <v>981</v>
      </c>
      <c r="B986" s="304">
        <v>1717</v>
      </c>
      <c r="C986" s="304">
        <v>25</v>
      </c>
      <c r="D986" s="306" t="s">
        <v>1698</v>
      </c>
      <c r="E986" s="304" t="s">
        <v>1728</v>
      </c>
      <c r="F986" s="306" t="s">
        <v>3393</v>
      </c>
      <c r="G986" s="306"/>
      <c r="H986" s="306" t="s">
        <v>3395</v>
      </c>
      <c r="I986" s="306"/>
      <c r="J986" s="304"/>
      <c r="K986" s="304" t="s">
        <v>88</v>
      </c>
      <c r="L986" s="304" t="s">
        <v>3046</v>
      </c>
      <c r="M986" s="306"/>
      <c r="N986" s="304" t="s">
        <v>96</v>
      </c>
      <c r="O986" s="306" t="s">
        <v>71</v>
      </c>
      <c r="P986" s="304">
        <v>0</v>
      </c>
      <c r="Q986" s="304">
        <v>0</v>
      </c>
      <c r="R986" s="304">
        <v>1</v>
      </c>
      <c r="S986" s="308">
        <v>0</v>
      </c>
    </row>
    <row r="987" spans="1:19" ht="132">
      <c r="A987" s="303">
        <v>982</v>
      </c>
      <c r="B987" s="304">
        <v>1718</v>
      </c>
      <c r="C987" s="304">
        <v>25</v>
      </c>
      <c r="D987" s="306" t="s">
        <v>1698</v>
      </c>
      <c r="E987" s="304" t="s">
        <v>1728</v>
      </c>
      <c r="F987" s="306" t="s">
        <v>3393</v>
      </c>
      <c r="G987" s="306"/>
      <c r="H987" s="306" t="s">
        <v>3396</v>
      </c>
      <c r="I987" s="306"/>
      <c r="J987" s="304"/>
      <c r="K987" s="304" t="s">
        <v>88</v>
      </c>
      <c r="L987" s="304" t="s">
        <v>3046</v>
      </c>
      <c r="M987" s="306"/>
      <c r="N987" s="304" t="s">
        <v>96</v>
      </c>
      <c r="O987" s="306" t="s">
        <v>71</v>
      </c>
      <c r="P987" s="304">
        <v>0</v>
      </c>
      <c r="Q987" s="304">
        <v>0</v>
      </c>
      <c r="R987" s="304">
        <v>1</v>
      </c>
      <c r="S987" s="308">
        <v>0</v>
      </c>
    </row>
    <row r="988" spans="1:19" ht="132">
      <c r="A988" s="303">
        <v>983</v>
      </c>
      <c r="B988" s="304">
        <v>1719</v>
      </c>
      <c r="C988" s="304">
        <v>25</v>
      </c>
      <c r="D988" s="306" t="s">
        <v>1698</v>
      </c>
      <c r="E988" s="304" t="s">
        <v>1728</v>
      </c>
      <c r="F988" s="306" t="s">
        <v>3393</v>
      </c>
      <c r="G988" s="306"/>
      <c r="H988" s="306" t="s">
        <v>3397</v>
      </c>
      <c r="I988" s="306"/>
      <c r="J988" s="304"/>
      <c r="K988" s="304" t="s">
        <v>3114</v>
      </c>
      <c r="L988" s="304" t="s">
        <v>3046</v>
      </c>
      <c r="M988" s="306"/>
      <c r="N988" s="304" t="s">
        <v>96</v>
      </c>
      <c r="O988" s="306" t="s">
        <v>71</v>
      </c>
      <c r="P988" s="304">
        <v>0</v>
      </c>
      <c r="Q988" s="304">
        <v>0</v>
      </c>
      <c r="R988" s="304">
        <v>1</v>
      </c>
      <c r="S988" s="308">
        <v>0</v>
      </c>
    </row>
    <row r="989" spans="1:19" ht="132">
      <c r="A989" s="303">
        <v>984</v>
      </c>
      <c r="B989" s="304">
        <v>1720</v>
      </c>
      <c r="C989" s="304">
        <v>25</v>
      </c>
      <c r="D989" s="306" t="s">
        <v>1698</v>
      </c>
      <c r="E989" s="304" t="s">
        <v>1728</v>
      </c>
      <c r="F989" s="306" t="s">
        <v>3393</v>
      </c>
      <c r="G989" s="306"/>
      <c r="H989" s="306" t="s">
        <v>3398</v>
      </c>
      <c r="I989" s="306"/>
      <c r="J989" s="304"/>
      <c r="K989" s="304" t="s">
        <v>88</v>
      </c>
      <c r="L989" s="304" t="s">
        <v>3399</v>
      </c>
      <c r="M989" s="306"/>
      <c r="N989" s="304" t="s">
        <v>96</v>
      </c>
      <c r="O989" s="306" t="s">
        <v>71</v>
      </c>
      <c r="P989" s="304">
        <v>0</v>
      </c>
      <c r="Q989" s="304">
        <v>0</v>
      </c>
      <c r="R989" s="304">
        <v>1</v>
      </c>
      <c r="S989" s="308">
        <v>0</v>
      </c>
    </row>
    <row r="990" spans="1:19" ht="132">
      <c r="A990" s="303">
        <v>985</v>
      </c>
      <c r="B990" s="304">
        <v>1721</v>
      </c>
      <c r="C990" s="304">
        <v>25</v>
      </c>
      <c r="D990" s="306" t="s">
        <v>1698</v>
      </c>
      <c r="E990" s="304" t="s">
        <v>1728</v>
      </c>
      <c r="F990" s="306" t="s">
        <v>3393</v>
      </c>
      <c r="G990" s="306"/>
      <c r="H990" s="306" t="s">
        <v>3400</v>
      </c>
      <c r="I990" s="306"/>
      <c r="J990" s="304"/>
      <c r="K990" s="304" t="s">
        <v>88</v>
      </c>
      <c r="L990" s="304" t="s">
        <v>3178</v>
      </c>
      <c r="M990" s="306"/>
      <c r="N990" s="304" t="s">
        <v>96</v>
      </c>
      <c r="O990" s="306" t="s">
        <v>71</v>
      </c>
      <c r="P990" s="304">
        <v>0</v>
      </c>
      <c r="Q990" s="304">
        <v>0</v>
      </c>
      <c r="R990" s="304">
        <v>1</v>
      </c>
      <c r="S990" s="308">
        <v>0</v>
      </c>
    </row>
    <row r="991" spans="1:19" ht="120">
      <c r="A991" s="303">
        <v>986</v>
      </c>
      <c r="B991" s="304">
        <v>1805</v>
      </c>
      <c r="C991" s="304">
        <v>32</v>
      </c>
      <c r="D991" s="306" t="s">
        <v>3401</v>
      </c>
      <c r="E991" s="304">
        <v>3</v>
      </c>
      <c r="F991" s="306" t="s">
        <v>3402</v>
      </c>
      <c r="G991" s="306"/>
      <c r="H991" s="306" t="s">
        <v>3403</v>
      </c>
      <c r="I991" s="306"/>
      <c r="J991" s="304" t="s">
        <v>3318</v>
      </c>
      <c r="K991" s="307"/>
      <c r="L991" s="309"/>
      <c r="M991" s="306"/>
      <c r="N991" s="304" t="s">
        <v>96</v>
      </c>
      <c r="O991" s="306" t="s">
        <v>71</v>
      </c>
      <c r="P991" s="304">
        <v>1</v>
      </c>
      <c r="Q991" s="304">
        <v>1</v>
      </c>
      <c r="R991" s="304">
        <v>0</v>
      </c>
      <c r="S991" s="308">
        <v>0</v>
      </c>
    </row>
    <row r="992" spans="1:19" ht="120">
      <c r="A992" s="303">
        <v>987</v>
      </c>
      <c r="B992" s="304">
        <v>1806</v>
      </c>
      <c r="C992" s="304">
        <v>32</v>
      </c>
      <c r="D992" s="306" t="s">
        <v>3401</v>
      </c>
      <c r="E992" s="304">
        <v>3</v>
      </c>
      <c r="F992" s="306" t="s">
        <v>3402</v>
      </c>
      <c r="G992" s="306"/>
      <c r="H992" s="306" t="s">
        <v>3404</v>
      </c>
      <c r="I992" s="306"/>
      <c r="J992" s="304" t="s">
        <v>3318</v>
      </c>
      <c r="K992" s="307"/>
      <c r="L992" s="309"/>
      <c r="M992" s="306"/>
      <c r="N992" s="304" t="s">
        <v>96</v>
      </c>
      <c r="O992" s="306" t="s">
        <v>71</v>
      </c>
      <c r="P992" s="304">
        <v>1</v>
      </c>
      <c r="Q992" s="304">
        <v>1</v>
      </c>
      <c r="R992" s="304">
        <v>0</v>
      </c>
      <c r="S992" s="308">
        <v>0</v>
      </c>
    </row>
    <row r="993" spans="1:19" ht="120">
      <c r="A993" s="303">
        <v>988</v>
      </c>
      <c r="B993" s="304">
        <v>1807</v>
      </c>
      <c r="C993" s="304">
        <v>32</v>
      </c>
      <c r="D993" s="306" t="s">
        <v>3401</v>
      </c>
      <c r="E993" s="304">
        <v>4</v>
      </c>
      <c r="F993" s="306" t="s">
        <v>3405</v>
      </c>
      <c r="G993" s="306"/>
      <c r="H993" s="306" t="s">
        <v>3406</v>
      </c>
      <c r="I993" s="306"/>
      <c r="J993" s="304" t="s">
        <v>3318</v>
      </c>
      <c r="K993" s="307"/>
      <c r="L993" s="309"/>
      <c r="M993" s="306"/>
      <c r="N993" s="304" t="s">
        <v>96</v>
      </c>
      <c r="O993" s="306" t="s">
        <v>71</v>
      </c>
      <c r="P993" s="304">
        <v>1</v>
      </c>
      <c r="Q993" s="304">
        <v>1</v>
      </c>
      <c r="R993" s="304">
        <v>0</v>
      </c>
      <c r="S993" s="308">
        <v>0</v>
      </c>
    </row>
    <row r="994" spans="1:19" ht="120">
      <c r="A994" s="303">
        <v>989</v>
      </c>
      <c r="B994" s="304">
        <v>1943</v>
      </c>
      <c r="C994" s="304" t="s">
        <v>102</v>
      </c>
      <c r="D994" s="306" t="s">
        <v>3042</v>
      </c>
      <c r="E994" s="304">
        <v>2</v>
      </c>
      <c r="F994" s="306" t="s">
        <v>3047</v>
      </c>
      <c r="G994" s="306"/>
      <c r="H994" s="306" t="s">
        <v>3407</v>
      </c>
      <c r="I994" s="306"/>
      <c r="J994" s="304"/>
      <c r="K994" s="304" t="s">
        <v>88</v>
      </c>
      <c r="L994" s="304" t="s">
        <v>3046</v>
      </c>
      <c r="M994" s="306"/>
      <c r="N994" s="304" t="s">
        <v>96</v>
      </c>
      <c r="O994" s="306" t="s">
        <v>20</v>
      </c>
      <c r="P994" s="304">
        <v>1</v>
      </c>
      <c r="Q994" s="304">
        <v>1</v>
      </c>
      <c r="R994" s="304">
        <v>1</v>
      </c>
      <c r="S994" s="308">
        <v>1</v>
      </c>
    </row>
    <row r="995" spans="1:19" ht="72">
      <c r="A995" s="303">
        <v>990</v>
      </c>
      <c r="B995" s="304">
        <v>1944</v>
      </c>
      <c r="C995" s="304" t="s">
        <v>102</v>
      </c>
      <c r="D995" s="306" t="s">
        <v>3042</v>
      </c>
      <c r="E995" s="304">
        <v>2</v>
      </c>
      <c r="F995" s="306" t="s">
        <v>3047</v>
      </c>
      <c r="G995" s="306"/>
      <c r="H995" s="306" t="s">
        <v>3408</v>
      </c>
      <c r="I995" s="306"/>
      <c r="J995" s="304"/>
      <c r="K995" s="304" t="s">
        <v>88</v>
      </c>
      <c r="L995" s="304" t="s">
        <v>3046</v>
      </c>
      <c r="M995" s="306"/>
      <c r="N995" s="304" t="s">
        <v>96</v>
      </c>
      <c r="O995" s="306" t="s">
        <v>71</v>
      </c>
      <c r="P995" s="304">
        <v>1</v>
      </c>
      <c r="Q995" s="304">
        <v>1</v>
      </c>
      <c r="R995" s="304">
        <v>1</v>
      </c>
      <c r="S995" s="308">
        <v>1</v>
      </c>
    </row>
    <row r="996" spans="1:19" ht="96">
      <c r="A996" s="303">
        <v>991</v>
      </c>
      <c r="B996" s="304">
        <v>1947</v>
      </c>
      <c r="C996" s="304">
        <v>15</v>
      </c>
      <c r="D996" s="306" t="s">
        <v>3227</v>
      </c>
      <c r="E996" s="304">
        <v>2</v>
      </c>
      <c r="F996" s="306" t="s">
        <v>3409</v>
      </c>
      <c r="G996" s="306"/>
      <c r="H996" s="306" t="s">
        <v>3410</v>
      </c>
      <c r="I996" s="306"/>
      <c r="J996" s="304"/>
      <c r="K996" s="304" t="s">
        <v>3411</v>
      </c>
      <c r="L996" s="304" t="s">
        <v>2980</v>
      </c>
      <c r="M996" s="306"/>
      <c r="N996" s="304" t="s">
        <v>96</v>
      </c>
      <c r="O996" s="306" t="s">
        <v>51</v>
      </c>
      <c r="P996" s="304">
        <v>1</v>
      </c>
      <c r="Q996" s="304">
        <v>1</v>
      </c>
      <c r="R996" s="304">
        <v>1</v>
      </c>
      <c r="S996" s="308">
        <v>1</v>
      </c>
    </row>
    <row r="997" spans="1:19" ht="132">
      <c r="A997" s="303">
        <v>992</v>
      </c>
      <c r="B997" s="311">
        <v>1949</v>
      </c>
      <c r="C997" s="311" t="s">
        <v>101</v>
      </c>
      <c r="D997" s="312" t="s">
        <v>3065</v>
      </c>
      <c r="E997" s="311">
        <v>2</v>
      </c>
      <c r="F997" s="312" t="s">
        <v>3118</v>
      </c>
      <c r="G997" s="312"/>
      <c r="H997" s="312" t="s">
        <v>3412</v>
      </c>
      <c r="I997" s="312"/>
      <c r="J997" s="311"/>
      <c r="K997" s="311" t="s">
        <v>3069</v>
      </c>
      <c r="L997" s="311" t="s">
        <v>2980</v>
      </c>
      <c r="M997" s="312"/>
      <c r="N997" s="311" t="s">
        <v>96</v>
      </c>
      <c r="O997" s="312" t="s">
        <v>26</v>
      </c>
      <c r="P997" s="311">
        <v>0</v>
      </c>
      <c r="Q997" s="311">
        <v>0</v>
      </c>
      <c r="R997" s="311">
        <v>1</v>
      </c>
      <c r="S997" s="313">
        <v>0</v>
      </c>
    </row>
  </sheetData>
  <autoFilter ref="A5:S5" xr:uid="{00000000-0009-0000-0000-000000000000}"/>
  <mergeCells count="15">
    <mergeCell ref="Q1:S1"/>
    <mergeCell ref="A2:S2"/>
    <mergeCell ref="A3:A4"/>
    <mergeCell ref="O3:O4"/>
    <mergeCell ref="P3:Q3"/>
    <mergeCell ref="R3:S3"/>
    <mergeCell ref="L3:L4"/>
    <mergeCell ref="M3:M4"/>
    <mergeCell ref="N3:N4"/>
    <mergeCell ref="I3:I4"/>
    <mergeCell ref="J3:J4"/>
    <mergeCell ref="K3:K4"/>
    <mergeCell ref="B3:B4"/>
    <mergeCell ref="C3:D3"/>
    <mergeCell ref="E3:F3"/>
  </mergeCells>
  <dataValidations count="2">
    <dataValidation type="list" allowBlank="1" sqref="N6:N997" xr:uid="{00000000-0002-0000-0000-000000000000}">
      <formula1>"индикатор,инструмент"</formula1>
    </dataValidation>
    <dataValidation type="list" allowBlank="1" sqref="O6:O209 O212:O997" xr:uid="{00000000-0002-0000-0000-000001000000}">
      <formula1>#REF!</formula1>
    </dataValidation>
  </dataValidations>
  <printOptions horizontalCentered="1"/>
  <pageMargins left="0.15748031496062992" right="0.15748031496062992" top="0.74803149606299213" bottom="0.23622047244094491" header="0.31496062992125984" footer="0.11811023622047245"/>
  <pageSetup paperSize="9" scale="69" orientation="landscape" verticalDpi="0"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J39"/>
  <sheetViews>
    <sheetView workbookViewId="0"/>
  </sheetViews>
  <sheetFormatPr baseColWidth="10" defaultColWidth="14.5" defaultRowHeight="15.75" customHeight="1" outlineLevelCol="1"/>
  <cols>
    <col min="1" max="10" width="14.5" outlineLevel="1"/>
  </cols>
  <sheetData>
    <row r="1" spans="1:10" ht="15.75" customHeight="1">
      <c r="A1" s="7" t="s">
        <v>61</v>
      </c>
      <c r="B1" s="7" t="s">
        <v>1057</v>
      </c>
      <c r="C1" s="7" t="s">
        <v>1058</v>
      </c>
      <c r="D1" s="7" t="s">
        <v>1059</v>
      </c>
      <c r="E1" s="7" t="s">
        <v>1061</v>
      </c>
      <c r="F1" s="7" t="s">
        <v>1062</v>
      </c>
      <c r="G1" s="7" t="s">
        <v>1063</v>
      </c>
      <c r="H1" s="7" t="s">
        <v>1065</v>
      </c>
      <c r="I1" s="7" t="s">
        <v>1066</v>
      </c>
      <c r="J1" s="7" t="s">
        <v>1067</v>
      </c>
    </row>
    <row r="2" spans="1:10" ht="15.75" customHeight="1">
      <c r="A2" s="103" t="s">
        <v>828</v>
      </c>
      <c r="B2" s="7">
        <v>22</v>
      </c>
      <c r="C2" s="7">
        <v>22</v>
      </c>
      <c r="D2" s="7">
        <v>0</v>
      </c>
      <c r="E2" s="7">
        <v>14</v>
      </c>
      <c r="F2" s="7">
        <v>2</v>
      </c>
      <c r="G2" s="7">
        <v>20</v>
      </c>
      <c r="H2" s="7">
        <v>22</v>
      </c>
      <c r="I2" s="7">
        <v>0.90909090909090895</v>
      </c>
      <c r="J2" s="7">
        <v>1</v>
      </c>
    </row>
    <row r="3" spans="1:10" ht="15.75" customHeight="1">
      <c r="A3" s="103" t="s">
        <v>794</v>
      </c>
      <c r="B3" s="7">
        <v>18</v>
      </c>
      <c r="C3" s="7">
        <v>18</v>
      </c>
      <c r="D3" s="7">
        <v>0</v>
      </c>
      <c r="E3" s="7">
        <v>0</v>
      </c>
      <c r="F3" s="7">
        <v>11</v>
      </c>
      <c r="G3" s="7">
        <v>7</v>
      </c>
      <c r="H3" s="7">
        <v>18</v>
      </c>
      <c r="I3" s="7">
        <v>0.38888888888888801</v>
      </c>
      <c r="J3" s="7">
        <v>1</v>
      </c>
    </row>
    <row r="4" spans="1:10" ht="15.75" customHeight="1">
      <c r="A4" s="103" t="s">
        <v>861</v>
      </c>
      <c r="B4" s="7">
        <v>17</v>
      </c>
      <c r="C4" s="7">
        <v>17</v>
      </c>
      <c r="D4" s="7">
        <v>0</v>
      </c>
      <c r="E4" s="7">
        <v>0</v>
      </c>
      <c r="F4" s="7">
        <v>6</v>
      </c>
      <c r="G4" s="7">
        <v>11</v>
      </c>
      <c r="H4" s="7">
        <v>17</v>
      </c>
      <c r="I4" s="7">
        <v>0.64705882352941102</v>
      </c>
      <c r="J4" s="7">
        <v>1</v>
      </c>
    </row>
    <row r="5" spans="1:10" ht="15.75" customHeight="1">
      <c r="A5" s="103" t="s">
        <v>834</v>
      </c>
      <c r="B5" s="7">
        <v>7</v>
      </c>
      <c r="C5" s="7">
        <v>7</v>
      </c>
      <c r="D5" s="7">
        <v>0</v>
      </c>
      <c r="E5" s="7">
        <v>1</v>
      </c>
      <c r="F5" s="7">
        <v>4</v>
      </c>
      <c r="G5" s="7">
        <v>3</v>
      </c>
      <c r="H5" s="7">
        <v>7</v>
      </c>
      <c r="I5" s="7">
        <v>0.42857142857142799</v>
      </c>
      <c r="J5" s="7">
        <v>1</v>
      </c>
    </row>
    <row r="6" spans="1:10" ht="15.75" customHeight="1">
      <c r="A6" s="103" t="s">
        <v>833</v>
      </c>
      <c r="B6" s="7">
        <v>11</v>
      </c>
      <c r="C6" s="7">
        <v>11</v>
      </c>
      <c r="D6" s="7">
        <v>0</v>
      </c>
      <c r="E6" s="7">
        <v>1</v>
      </c>
      <c r="F6" s="7">
        <v>3</v>
      </c>
      <c r="G6" s="7">
        <v>8</v>
      </c>
      <c r="H6" s="7">
        <v>11</v>
      </c>
      <c r="I6" s="7">
        <v>0.72727272727272696</v>
      </c>
      <c r="J6" s="7">
        <v>1</v>
      </c>
    </row>
    <row r="7" spans="1:10" ht="15.75" customHeight="1">
      <c r="A7" s="103" t="s">
        <v>765</v>
      </c>
      <c r="B7" s="7">
        <v>58</v>
      </c>
      <c r="C7" s="7">
        <v>58</v>
      </c>
      <c r="D7" s="7">
        <v>0</v>
      </c>
      <c r="E7" s="7">
        <v>3</v>
      </c>
      <c r="F7" s="7">
        <v>34</v>
      </c>
      <c r="G7" s="7">
        <v>24</v>
      </c>
      <c r="H7" s="7">
        <v>58</v>
      </c>
      <c r="I7" s="7">
        <v>0.41379310344827502</v>
      </c>
      <c r="J7" s="7">
        <v>1</v>
      </c>
    </row>
    <row r="8" spans="1:10" ht="15.75" customHeight="1">
      <c r="A8" s="103" t="s">
        <v>830</v>
      </c>
      <c r="B8" s="7">
        <v>32</v>
      </c>
      <c r="C8" s="7">
        <v>32</v>
      </c>
      <c r="D8" s="7">
        <v>0</v>
      </c>
      <c r="E8" s="7">
        <v>0</v>
      </c>
      <c r="F8" s="7">
        <v>10</v>
      </c>
      <c r="G8" s="7">
        <v>22</v>
      </c>
      <c r="H8" s="7">
        <v>32</v>
      </c>
      <c r="I8" s="7">
        <v>0.6875</v>
      </c>
      <c r="J8" s="7">
        <v>1</v>
      </c>
    </row>
    <row r="9" spans="1:10" ht="15.75" customHeight="1">
      <c r="A9" s="103" t="s">
        <v>796</v>
      </c>
      <c r="B9" s="7">
        <v>4</v>
      </c>
      <c r="C9" s="7">
        <v>4</v>
      </c>
      <c r="D9" s="7">
        <v>0</v>
      </c>
      <c r="E9" s="7">
        <v>1</v>
      </c>
      <c r="F9" s="7">
        <v>0</v>
      </c>
      <c r="G9" s="7">
        <v>4</v>
      </c>
      <c r="H9" s="7">
        <v>4</v>
      </c>
      <c r="I9" s="7">
        <v>0</v>
      </c>
      <c r="J9" s="7">
        <v>1</v>
      </c>
    </row>
    <row r="10" spans="1:10" ht="15.75" customHeight="1">
      <c r="A10" s="103" t="s">
        <v>857</v>
      </c>
      <c r="B10" s="7">
        <v>10</v>
      </c>
      <c r="C10" s="7">
        <v>10</v>
      </c>
      <c r="D10" s="7">
        <v>0</v>
      </c>
      <c r="E10" s="7">
        <v>0</v>
      </c>
      <c r="F10" s="7">
        <v>6</v>
      </c>
      <c r="G10" s="7">
        <v>4</v>
      </c>
      <c r="H10" s="7">
        <v>10</v>
      </c>
      <c r="I10" s="7">
        <v>0.4</v>
      </c>
      <c r="J10" s="7">
        <v>1</v>
      </c>
    </row>
    <row r="11" spans="1:10" ht="15.75" customHeight="1">
      <c r="A11" s="103" t="s">
        <v>767</v>
      </c>
      <c r="B11" s="7">
        <v>35</v>
      </c>
      <c r="C11" s="7">
        <v>35</v>
      </c>
      <c r="D11" s="7">
        <v>0</v>
      </c>
      <c r="E11" s="7">
        <v>1</v>
      </c>
      <c r="F11" s="7">
        <v>21</v>
      </c>
      <c r="G11" s="7">
        <v>14</v>
      </c>
      <c r="H11" s="7">
        <v>35</v>
      </c>
      <c r="I11" s="7">
        <v>0.4</v>
      </c>
      <c r="J11" s="7">
        <v>1</v>
      </c>
    </row>
    <row r="12" spans="1:10" ht="15.75" customHeight="1">
      <c r="A12" s="103" t="s">
        <v>832</v>
      </c>
      <c r="B12" s="7">
        <v>40</v>
      </c>
      <c r="C12" s="7">
        <v>39</v>
      </c>
      <c r="D12" s="7">
        <v>1</v>
      </c>
      <c r="E12" s="7">
        <v>20</v>
      </c>
      <c r="F12" s="7">
        <v>16</v>
      </c>
      <c r="G12" s="7">
        <v>24</v>
      </c>
      <c r="H12" s="7">
        <v>40</v>
      </c>
      <c r="I12" s="7">
        <v>0.6</v>
      </c>
      <c r="J12" s="7">
        <v>0.97499999999999998</v>
      </c>
    </row>
    <row r="13" spans="1:10" ht="15.75" customHeight="1">
      <c r="A13" s="103" t="s">
        <v>773</v>
      </c>
      <c r="B13" s="7">
        <v>66</v>
      </c>
      <c r="C13" s="7">
        <v>62</v>
      </c>
      <c r="D13" s="7">
        <v>4</v>
      </c>
      <c r="E13" s="7">
        <v>0</v>
      </c>
      <c r="F13" s="7">
        <v>18</v>
      </c>
      <c r="G13" s="7">
        <v>48</v>
      </c>
      <c r="H13" s="7">
        <v>66</v>
      </c>
      <c r="I13" s="7">
        <v>0.72727272727272696</v>
      </c>
      <c r="J13" s="7">
        <v>0.939393939393939</v>
      </c>
    </row>
    <row r="14" spans="1:10" ht="15.75" customHeight="1">
      <c r="A14" s="103" t="s">
        <v>783</v>
      </c>
      <c r="B14" s="7">
        <v>13</v>
      </c>
      <c r="C14" s="7">
        <v>12</v>
      </c>
      <c r="D14" s="7">
        <v>1</v>
      </c>
      <c r="E14" s="7">
        <v>2</v>
      </c>
      <c r="F14" s="7">
        <v>4</v>
      </c>
      <c r="G14" s="7">
        <v>9</v>
      </c>
      <c r="H14" s="7">
        <v>13</v>
      </c>
      <c r="I14" s="7">
        <v>0.69230769230769196</v>
      </c>
      <c r="J14" s="7">
        <v>0.92307692307692302</v>
      </c>
    </row>
    <row r="15" spans="1:10" ht="15.75" customHeight="1">
      <c r="A15" s="103" t="s">
        <v>785</v>
      </c>
      <c r="B15" s="7">
        <v>9</v>
      </c>
      <c r="C15" s="7">
        <v>8</v>
      </c>
      <c r="D15" s="7">
        <v>1</v>
      </c>
      <c r="E15" s="7">
        <v>8</v>
      </c>
      <c r="F15" s="7">
        <v>3</v>
      </c>
      <c r="G15" s="7">
        <v>6</v>
      </c>
      <c r="H15" s="7">
        <v>9</v>
      </c>
      <c r="I15" s="7">
        <v>0.66666666666666596</v>
      </c>
      <c r="J15" s="7">
        <v>0.88888888888888795</v>
      </c>
    </row>
    <row r="16" spans="1:10" ht="15.75" customHeight="1">
      <c r="A16" s="103" t="s">
        <v>771</v>
      </c>
      <c r="B16" s="7">
        <v>38</v>
      </c>
      <c r="C16" s="7">
        <v>33</v>
      </c>
      <c r="D16" s="7">
        <v>5</v>
      </c>
      <c r="E16" s="7">
        <v>0</v>
      </c>
      <c r="F16" s="7">
        <v>2</v>
      </c>
      <c r="G16" s="7">
        <v>36</v>
      </c>
      <c r="H16" s="7">
        <v>38</v>
      </c>
      <c r="I16" s="7">
        <v>0.94736842105263097</v>
      </c>
      <c r="J16" s="7">
        <v>0.86842105263157898</v>
      </c>
    </row>
    <row r="17" spans="1:10" ht="15.75" customHeight="1">
      <c r="A17" s="103" t="s">
        <v>843</v>
      </c>
      <c r="B17" s="7">
        <v>7</v>
      </c>
      <c r="C17" s="7">
        <v>6</v>
      </c>
      <c r="D17" s="7">
        <v>1</v>
      </c>
      <c r="E17" s="7">
        <v>3</v>
      </c>
      <c r="F17" s="7">
        <v>3</v>
      </c>
      <c r="G17" s="7">
        <v>4</v>
      </c>
      <c r="H17" s="7">
        <v>7</v>
      </c>
      <c r="I17" s="7">
        <v>0.57142857142857095</v>
      </c>
      <c r="J17" s="7">
        <v>0.85714285714285698</v>
      </c>
    </row>
    <row r="18" spans="1:10" ht="15.75" customHeight="1">
      <c r="A18" s="103" t="s">
        <v>789</v>
      </c>
      <c r="B18" s="7">
        <v>6</v>
      </c>
      <c r="C18" s="7">
        <v>5</v>
      </c>
      <c r="D18" s="7">
        <v>1</v>
      </c>
      <c r="E18" s="7">
        <v>5</v>
      </c>
      <c r="F18" s="7">
        <v>3</v>
      </c>
      <c r="G18" s="7">
        <v>3</v>
      </c>
      <c r="H18" s="7">
        <v>6</v>
      </c>
      <c r="I18" s="7">
        <v>0.5</v>
      </c>
      <c r="J18" s="7">
        <v>0.83333333333333304</v>
      </c>
    </row>
    <row r="19" spans="1:10" ht="15.75" customHeight="1">
      <c r="A19" s="103" t="s">
        <v>777</v>
      </c>
      <c r="B19" s="7">
        <v>23</v>
      </c>
      <c r="C19" s="7">
        <v>18</v>
      </c>
      <c r="D19" s="7">
        <v>5</v>
      </c>
      <c r="E19" s="7">
        <v>15</v>
      </c>
      <c r="F19" s="7">
        <v>17</v>
      </c>
      <c r="G19" s="7">
        <v>6</v>
      </c>
      <c r="H19" s="7">
        <v>23</v>
      </c>
      <c r="I19" s="7">
        <v>0.26086956521739102</v>
      </c>
      <c r="J19" s="7">
        <v>0.78260869565217395</v>
      </c>
    </row>
    <row r="20" spans="1:10" ht="15.75" customHeight="1">
      <c r="A20" s="103" t="s">
        <v>781</v>
      </c>
      <c r="B20" s="7">
        <v>4</v>
      </c>
      <c r="C20" s="7">
        <v>3</v>
      </c>
      <c r="D20" s="7">
        <v>1</v>
      </c>
      <c r="E20" s="7">
        <v>0</v>
      </c>
      <c r="F20" s="7">
        <v>1</v>
      </c>
      <c r="G20" s="7">
        <v>3</v>
      </c>
      <c r="H20" s="7">
        <v>4</v>
      </c>
      <c r="I20" s="7">
        <v>0.75</v>
      </c>
      <c r="J20" s="7">
        <v>0.75</v>
      </c>
    </row>
    <row r="21" spans="1:10" ht="13">
      <c r="A21" s="103" t="s">
        <v>787</v>
      </c>
      <c r="B21" s="7">
        <v>28</v>
      </c>
      <c r="C21" s="7">
        <v>21</v>
      </c>
      <c r="D21" s="7">
        <v>7</v>
      </c>
      <c r="E21" s="7">
        <v>4</v>
      </c>
      <c r="F21" s="7">
        <v>18</v>
      </c>
      <c r="G21" s="7">
        <v>10</v>
      </c>
      <c r="H21" s="7">
        <v>28</v>
      </c>
      <c r="I21" s="7">
        <v>0.35714285714285698</v>
      </c>
      <c r="J21" s="7">
        <v>0.75</v>
      </c>
    </row>
    <row r="22" spans="1:10" ht="13">
      <c r="A22" s="103" t="s">
        <v>841</v>
      </c>
      <c r="B22" s="7">
        <v>19</v>
      </c>
      <c r="C22" s="7">
        <v>14</v>
      </c>
      <c r="D22" s="7">
        <v>5</v>
      </c>
      <c r="E22" s="7">
        <v>7</v>
      </c>
      <c r="F22" s="7">
        <v>15</v>
      </c>
      <c r="G22" s="7">
        <v>4</v>
      </c>
      <c r="H22" s="7">
        <v>19</v>
      </c>
      <c r="I22" s="7">
        <v>0.21052631578947301</v>
      </c>
      <c r="J22" s="7">
        <v>0.73684210526315697</v>
      </c>
    </row>
    <row r="23" spans="1:10" ht="13">
      <c r="A23" s="103" t="s">
        <v>837</v>
      </c>
      <c r="B23" s="7">
        <v>11</v>
      </c>
      <c r="C23" s="7">
        <v>8</v>
      </c>
      <c r="D23" s="7">
        <v>3</v>
      </c>
      <c r="E23" s="7">
        <v>2</v>
      </c>
      <c r="F23" s="7">
        <v>6</v>
      </c>
      <c r="G23" s="7">
        <v>5</v>
      </c>
      <c r="H23" s="7">
        <v>11</v>
      </c>
      <c r="I23" s="7">
        <v>0.45454545454545398</v>
      </c>
      <c r="J23" s="7">
        <v>0.72727272727272696</v>
      </c>
    </row>
    <row r="24" spans="1:10" ht="13">
      <c r="A24" s="103" t="s">
        <v>863</v>
      </c>
      <c r="B24" s="7">
        <v>28</v>
      </c>
      <c r="C24" s="7">
        <v>20</v>
      </c>
      <c r="D24" s="7">
        <v>8</v>
      </c>
      <c r="E24" s="7">
        <v>3</v>
      </c>
      <c r="F24" s="7">
        <v>16</v>
      </c>
      <c r="G24" s="7">
        <v>12</v>
      </c>
      <c r="H24" s="7">
        <v>28</v>
      </c>
      <c r="I24" s="7">
        <v>0.42857142857142799</v>
      </c>
      <c r="J24" s="7">
        <v>0.71428571428571397</v>
      </c>
    </row>
    <row r="25" spans="1:10" ht="13">
      <c r="A25" s="103" t="s">
        <v>779</v>
      </c>
      <c r="B25" s="7">
        <v>17</v>
      </c>
      <c r="C25" s="7">
        <v>12</v>
      </c>
      <c r="D25" s="7">
        <v>5</v>
      </c>
      <c r="E25" s="7">
        <v>9</v>
      </c>
      <c r="F25" s="7">
        <v>13</v>
      </c>
      <c r="G25" s="7">
        <v>4</v>
      </c>
      <c r="H25" s="7">
        <v>17</v>
      </c>
      <c r="I25" s="7">
        <v>0.23529411764705799</v>
      </c>
      <c r="J25" s="7">
        <v>0.70588235294117596</v>
      </c>
    </row>
    <row r="26" spans="1:10" ht="13">
      <c r="A26" s="103" t="s">
        <v>835</v>
      </c>
      <c r="B26" s="7">
        <v>16</v>
      </c>
      <c r="C26" s="7">
        <v>10</v>
      </c>
      <c r="D26" s="7">
        <v>6</v>
      </c>
      <c r="E26" s="7">
        <v>0</v>
      </c>
      <c r="F26" s="7">
        <v>6</v>
      </c>
      <c r="G26" s="7">
        <v>10</v>
      </c>
      <c r="H26" s="7">
        <v>16</v>
      </c>
      <c r="I26" s="7">
        <v>0.625</v>
      </c>
      <c r="J26" s="7">
        <v>0.625</v>
      </c>
    </row>
    <row r="27" spans="1:10" ht="13">
      <c r="A27" s="103" t="s">
        <v>859</v>
      </c>
      <c r="B27" s="7">
        <v>18</v>
      </c>
      <c r="C27" s="7">
        <v>11</v>
      </c>
      <c r="D27" s="7">
        <v>7</v>
      </c>
      <c r="E27" s="7">
        <v>0</v>
      </c>
      <c r="F27" s="7">
        <v>3</v>
      </c>
      <c r="G27" s="7">
        <v>15</v>
      </c>
      <c r="H27" s="7">
        <v>18</v>
      </c>
      <c r="I27" s="7">
        <v>0.83333333333333304</v>
      </c>
      <c r="J27" s="7">
        <v>0.61111111111111105</v>
      </c>
    </row>
    <row r="28" spans="1:10" ht="13">
      <c r="A28" s="103" t="s">
        <v>852</v>
      </c>
      <c r="B28" s="7">
        <v>5</v>
      </c>
      <c r="C28" s="7">
        <v>3</v>
      </c>
      <c r="D28" s="7">
        <v>2</v>
      </c>
      <c r="E28" s="7">
        <v>3</v>
      </c>
      <c r="F28" s="7">
        <v>4</v>
      </c>
      <c r="G28" s="7">
        <v>1</v>
      </c>
      <c r="H28" s="7">
        <v>5</v>
      </c>
      <c r="I28" s="7">
        <v>0.19999999999999901</v>
      </c>
      <c r="J28" s="7">
        <v>0.6</v>
      </c>
    </row>
    <row r="29" spans="1:10" ht="13">
      <c r="A29" s="103" t="s">
        <v>791</v>
      </c>
      <c r="B29" s="7">
        <v>15</v>
      </c>
      <c r="C29" s="7">
        <v>9</v>
      </c>
      <c r="D29" s="7">
        <v>6</v>
      </c>
      <c r="E29" s="7">
        <v>0</v>
      </c>
      <c r="F29" s="7">
        <v>8</v>
      </c>
      <c r="G29" s="7">
        <v>7</v>
      </c>
      <c r="H29" s="7">
        <v>15</v>
      </c>
      <c r="I29" s="7">
        <v>0.46666666666666601</v>
      </c>
      <c r="J29" s="7">
        <v>0.6</v>
      </c>
    </row>
    <row r="30" spans="1:10" ht="13">
      <c r="A30" s="103" t="s">
        <v>839</v>
      </c>
      <c r="B30" s="7">
        <v>27</v>
      </c>
      <c r="C30" s="7">
        <v>14</v>
      </c>
      <c r="D30" s="7">
        <v>13</v>
      </c>
      <c r="E30" s="7">
        <v>14</v>
      </c>
      <c r="F30" s="7">
        <v>5</v>
      </c>
      <c r="G30" s="7">
        <v>22</v>
      </c>
      <c r="H30" s="7">
        <v>27</v>
      </c>
      <c r="I30" s="7">
        <v>0.81481481481481399</v>
      </c>
      <c r="J30" s="7">
        <v>0.51851851851851805</v>
      </c>
    </row>
    <row r="31" spans="1:10" ht="13">
      <c r="A31" s="103" t="s">
        <v>769</v>
      </c>
      <c r="B31" s="7">
        <v>56</v>
      </c>
      <c r="C31" s="7">
        <v>16</v>
      </c>
      <c r="D31" s="7">
        <v>40</v>
      </c>
      <c r="E31" s="7">
        <v>9</v>
      </c>
      <c r="F31" s="7">
        <v>1</v>
      </c>
      <c r="G31" s="7">
        <v>55</v>
      </c>
      <c r="H31" s="7">
        <v>56</v>
      </c>
      <c r="I31" s="7">
        <v>0.98214285714285698</v>
      </c>
      <c r="J31" s="7">
        <v>0.28571428571428498</v>
      </c>
    </row>
    <row r="32" spans="1:10" ht="13">
      <c r="A32" s="103" t="s">
        <v>847</v>
      </c>
      <c r="B32" s="7">
        <v>8</v>
      </c>
      <c r="C32" s="7">
        <v>1</v>
      </c>
      <c r="D32" s="7">
        <v>7</v>
      </c>
      <c r="E32" s="7">
        <v>0</v>
      </c>
      <c r="F32" s="7">
        <v>5</v>
      </c>
      <c r="G32" s="7">
        <v>3</v>
      </c>
      <c r="H32" s="7">
        <v>8</v>
      </c>
      <c r="I32" s="7">
        <v>0.375</v>
      </c>
      <c r="J32" s="7">
        <v>0.125</v>
      </c>
    </row>
    <row r="33" spans="1:10" ht="13">
      <c r="A33" s="103" t="s">
        <v>866</v>
      </c>
      <c r="B33" s="7">
        <v>33</v>
      </c>
      <c r="C33" s="7">
        <v>0</v>
      </c>
      <c r="D33" s="7">
        <v>33</v>
      </c>
      <c r="E33" s="7">
        <v>0</v>
      </c>
      <c r="F33" s="7">
        <v>13</v>
      </c>
      <c r="G33" s="7">
        <v>20</v>
      </c>
      <c r="H33" s="7">
        <v>33</v>
      </c>
      <c r="I33" s="7">
        <v>0.60606060606060597</v>
      </c>
      <c r="J33" s="7">
        <v>0</v>
      </c>
    </row>
    <row r="34" spans="1:10" ht="13">
      <c r="A34" s="103" t="s">
        <v>764</v>
      </c>
      <c r="B34" s="7">
        <v>17</v>
      </c>
      <c r="C34" s="7">
        <v>0</v>
      </c>
      <c r="D34" s="7">
        <v>17</v>
      </c>
      <c r="E34" s="7">
        <v>0</v>
      </c>
      <c r="F34" s="7">
        <v>17</v>
      </c>
      <c r="G34" s="7">
        <v>0</v>
      </c>
      <c r="H34" s="7">
        <v>17</v>
      </c>
      <c r="I34" s="7">
        <v>0</v>
      </c>
      <c r="J34" s="7">
        <v>0</v>
      </c>
    </row>
    <row r="35" spans="1:10" ht="13">
      <c r="A35" s="103" t="s">
        <v>855</v>
      </c>
      <c r="B35" s="7">
        <v>11</v>
      </c>
      <c r="C35" s="7">
        <v>0</v>
      </c>
      <c r="D35" s="7">
        <v>11</v>
      </c>
      <c r="E35" s="7">
        <v>0</v>
      </c>
      <c r="F35" s="7">
        <v>8</v>
      </c>
      <c r="G35" s="7">
        <v>3</v>
      </c>
      <c r="H35" s="7">
        <v>11</v>
      </c>
      <c r="I35" s="7">
        <v>0.27272727272727199</v>
      </c>
      <c r="J35" s="7">
        <v>0</v>
      </c>
    </row>
    <row r="36" spans="1:10" ht="13">
      <c r="A36" s="103" t="s">
        <v>849</v>
      </c>
      <c r="B36" s="7">
        <v>11</v>
      </c>
      <c r="C36" s="7">
        <v>0</v>
      </c>
      <c r="D36" s="7">
        <v>11</v>
      </c>
      <c r="E36" s="7">
        <v>0</v>
      </c>
      <c r="F36" s="7">
        <v>10</v>
      </c>
      <c r="G36" s="7">
        <v>1</v>
      </c>
      <c r="H36" s="7">
        <v>11</v>
      </c>
      <c r="I36" s="7">
        <v>9.0909090909090898E-2</v>
      </c>
      <c r="J36" s="7">
        <v>0</v>
      </c>
    </row>
    <row r="37" spans="1:10" ht="13">
      <c r="A37" s="103" t="s">
        <v>845</v>
      </c>
      <c r="B37" s="7">
        <v>14</v>
      </c>
      <c r="C37" s="7">
        <v>0</v>
      </c>
      <c r="D37" s="7">
        <v>14</v>
      </c>
      <c r="E37" s="7">
        <v>0</v>
      </c>
      <c r="F37" s="7">
        <v>11</v>
      </c>
      <c r="G37" s="7">
        <v>3</v>
      </c>
      <c r="H37" s="7">
        <v>14</v>
      </c>
      <c r="I37" s="7">
        <v>0.214285714285714</v>
      </c>
      <c r="J37" s="7">
        <v>0</v>
      </c>
    </row>
    <row r="38" spans="1:10" ht="13">
      <c r="A38" s="103" t="s">
        <v>868</v>
      </c>
      <c r="B38" s="7">
        <v>30</v>
      </c>
      <c r="C38" s="7">
        <v>0</v>
      </c>
      <c r="D38" s="7">
        <v>30</v>
      </c>
      <c r="E38" s="7">
        <v>0</v>
      </c>
      <c r="F38" s="7">
        <v>21</v>
      </c>
      <c r="G38" s="7">
        <v>9</v>
      </c>
      <c r="H38" s="7">
        <v>30</v>
      </c>
      <c r="I38" s="7">
        <v>0.3</v>
      </c>
      <c r="J38" s="7">
        <v>0</v>
      </c>
    </row>
    <row r="39" spans="1:10" ht="13">
      <c r="A39" s="103" t="s">
        <v>1081</v>
      </c>
      <c r="B39" s="7">
        <v>784</v>
      </c>
      <c r="C39" s="7">
        <v>539</v>
      </c>
      <c r="D39" s="7">
        <v>245</v>
      </c>
      <c r="E39" s="7">
        <v>125</v>
      </c>
      <c r="F39" s="7">
        <v>344</v>
      </c>
      <c r="G39" s="7">
        <v>440</v>
      </c>
      <c r="H39" s="7">
        <v>784</v>
      </c>
      <c r="I39" s="7">
        <v>18.185110054383902</v>
      </c>
      <c r="J39" s="7">
        <v>0.6875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K187"/>
  <sheetViews>
    <sheetView workbookViewId="0"/>
  </sheetViews>
  <sheetFormatPr baseColWidth="10" defaultColWidth="14.5" defaultRowHeight="15.75" customHeight="1"/>
  <sheetData>
    <row r="1" spans="1:11" ht="13">
      <c r="A1" s="7" t="s">
        <v>59</v>
      </c>
      <c r="B1" s="7" t="s">
        <v>1057</v>
      </c>
      <c r="C1" s="7" t="s">
        <v>1058</v>
      </c>
      <c r="D1" s="7" t="s">
        <v>1059</v>
      </c>
      <c r="E1" s="7" t="s">
        <v>1061</v>
      </c>
      <c r="F1" s="7" t="s">
        <v>1062</v>
      </c>
      <c r="G1" s="7" t="s">
        <v>1063</v>
      </c>
      <c r="H1" s="7" t="s">
        <v>1065</v>
      </c>
      <c r="I1" s="7" t="s">
        <v>1066</v>
      </c>
      <c r="J1" s="7" t="s">
        <v>1067</v>
      </c>
      <c r="K1" s="7" t="s">
        <v>1059</v>
      </c>
    </row>
    <row r="2" spans="1:11" ht="13">
      <c r="A2" s="7" t="s">
        <v>751</v>
      </c>
      <c r="B2" s="7">
        <v>112</v>
      </c>
      <c r="C2" s="7">
        <v>111</v>
      </c>
      <c r="D2" s="7">
        <v>1</v>
      </c>
      <c r="E2" s="7">
        <v>36</v>
      </c>
      <c r="F2" s="7">
        <v>35</v>
      </c>
      <c r="G2" s="7">
        <v>77</v>
      </c>
      <c r="H2" s="7">
        <v>112</v>
      </c>
      <c r="I2" s="172">
        <v>0.6875</v>
      </c>
      <c r="J2" s="172">
        <v>0.99107142857142805</v>
      </c>
      <c r="K2" s="174">
        <f t="shared" ref="K2:K8" si="0">1-J2</f>
        <v>8.928571428571952E-3</v>
      </c>
    </row>
    <row r="3" spans="1:11" ht="13">
      <c r="A3" s="7" t="s">
        <v>741</v>
      </c>
      <c r="B3" s="7">
        <v>137</v>
      </c>
      <c r="C3" s="7">
        <v>110</v>
      </c>
      <c r="D3" s="7">
        <v>27</v>
      </c>
      <c r="E3" s="7">
        <v>44</v>
      </c>
      <c r="F3" s="7">
        <v>78</v>
      </c>
      <c r="G3" s="7">
        <v>59</v>
      </c>
      <c r="H3" s="7">
        <v>137</v>
      </c>
      <c r="I3" s="172">
        <v>0.43065693430656898</v>
      </c>
      <c r="J3" s="172">
        <v>0.80291970802919699</v>
      </c>
      <c r="K3" s="174">
        <f t="shared" si="0"/>
        <v>0.19708029197080301</v>
      </c>
    </row>
    <row r="4" spans="1:11" ht="13">
      <c r="A4" s="7" t="s">
        <v>749</v>
      </c>
      <c r="B4" s="7">
        <v>270</v>
      </c>
      <c r="C4" s="7">
        <v>204</v>
      </c>
      <c r="D4" s="7">
        <v>66</v>
      </c>
      <c r="E4" s="7">
        <v>13</v>
      </c>
      <c r="F4" s="7">
        <v>93</v>
      </c>
      <c r="G4" s="7">
        <v>177</v>
      </c>
      <c r="H4" s="7">
        <v>270</v>
      </c>
      <c r="I4" s="172">
        <v>0.655555555555555</v>
      </c>
      <c r="J4" s="172">
        <v>0.75555555555555498</v>
      </c>
      <c r="K4" s="174">
        <f t="shared" si="0"/>
        <v>0.24444444444444502</v>
      </c>
    </row>
    <row r="5" spans="1:11" ht="13">
      <c r="A5" s="7" t="s">
        <v>747</v>
      </c>
      <c r="B5" s="7">
        <v>54</v>
      </c>
      <c r="C5" s="7">
        <v>32</v>
      </c>
      <c r="D5" s="7">
        <v>22</v>
      </c>
      <c r="E5" s="7">
        <v>16</v>
      </c>
      <c r="F5" s="7">
        <v>17</v>
      </c>
      <c r="G5" s="7">
        <v>37</v>
      </c>
      <c r="H5" s="7">
        <v>54</v>
      </c>
      <c r="I5" s="172">
        <v>0.68518518518518501</v>
      </c>
      <c r="J5" s="172">
        <v>0.592592592592592</v>
      </c>
      <c r="K5" s="174">
        <f t="shared" si="0"/>
        <v>0.407407407407408</v>
      </c>
    </row>
    <row r="6" spans="1:11" ht="13">
      <c r="A6" s="7" t="s">
        <v>740</v>
      </c>
      <c r="B6" s="7">
        <v>85</v>
      </c>
      <c r="C6" s="7">
        <v>34</v>
      </c>
      <c r="D6" s="7">
        <v>51</v>
      </c>
      <c r="E6" s="7">
        <v>13</v>
      </c>
      <c r="F6" s="7">
        <v>62</v>
      </c>
      <c r="G6" s="7">
        <v>23</v>
      </c>
      <c r="H6" s="7">
        <v>85</v>
      </c>
      <c r="I6" s="172">
        <v>0.27058823529411702</v>
      </c>
      <c r="J6" s="172">
        <v>0.4</v>
      </c>
      <c r="K6" s="174">
        <f t="shared" si="0"/>
        <v>0.6</v>
      </c>
    </row>
    <row r="7" spans="1:11" ht="13">
      <c r="A7" s="7" t="s">
        <v>737</v>
      </c>
      <c r="B7" s="7">
        <v>126</v>
      </c>
      <c r="C7" s="7">
        <v>48</v>
      </c>
      <c r="D7" s="7">
        <v>78</v>
      </c>
      <c r="E7" s="7">
        <v>3</v>
      </c>
      <c r="F7" s="7">
        <v>59</v>
      </c>
      <c r="G7" s="7">
        <v>67</v>
      </c>
      <c r="H7" s="7">
        <v>126</v>
      </c>
      <c r="I7" s="172">
        <v>0.53174603174603097</v>
      </c>
      <c r="J7" s="172">
        <v>0.38095238095237999</v>
      </c>
      <c r="K7" s="174">
        <f t="shared" si="0"/>
        <v>0.61904761904761996</v>
      </c>
    </row>
    <row r="8" spans="1:11" ht="13">
      <c r="A8" s="7" t="s">
        <v>1081</v>
      </c>
      <c r="B8" s="7">
        <v>784</v>
      </c>
      <c r="C8" s="7">
        <v>539</v>
      </c>
      <c r="D8" s="7">
        <v>245</v>
      </c>
      <c r="E8" s="7">
        <v>125</v>
      </c>
      <c r="F8" s="7">
        <v>344</v>
      </c>
      <c r="G8" s="7">
        <v>440</v>
      </c>
      <c r="H8" s="7">
        <v>784</v>
      </c>
      <c r="I8" s="172">
        <v>3.2612319420874498</v>
      </c>
      <c r="J8" s="172">
        <v>0.6875</v>
      </c>
      <c r="K8" s="174">
        <f t="shared" si="0"/>
        <v>0.3125</v>
      </c>
    </row>
    <row r="12" spans="1:11" ht="15.75" customHeight="1">
      <c r="I12" s="181"/>
    </row>
    <row r="21" spans="10:10" ht="13">
      <c r="J21" s="182"/>
    </row>
    <row r="50" spans="2:11" ht="13">
      <c r="F50" s="7" t="s">
        <v>7</v>
      </c>
      <c r="G50" s="7" t="s">
        <v>1400</v>
      </c>
      <c r="H50" s="7" t="s">
        <v>1401</v>
      </c>
      <c r="I50" s="7" t="s">
        <v>1402</v>
      </c>
      <c r="J50" s="7" t="s">
        <v>1403</v>
      </c>
      <c r="K50" s="7" t="s">
        <v>1402</v>
      </c>
    </row>
    <row r="51" spans="2:11" ht="13">
      <c r="E51" s="7">
        <v>2018</v>
      </c>
      <c r="F51" s="7">
        <v>1863</v>
      </c>
      <c r="G51" s="7">
        <v>97</v>
      </c>
      <c r="H51" s="7">
        <v>197</v>
      </c>
      <c r="I51" s="184">
        <f>H51/F51</f>
        <v>0.10574342458400429</v>
      </c>
      <c r="J51" s="101">
        <f>F51-H51</f>
        <v>1666</v>
      </c>
      <c r="K51" s="184">
        <f>J51/F51</f>
        <v>0.89425657541599568</v>
      </c>
    </row>
    <row r="52" spans="2:11" ht="13">
      <c r="E52" s="7">
        <v>2012</v>
      </c>
      <c r="F52" s="7">
        <v>218</v>
      </c>
      <c r="G52" s="7">
        <v>23</v>
      </c>
      <c r="H52" s="7">
        <v>93</v>
      </c>
      <c r="I52" s="184">
        <f>H52/F52</f>
        <v>0.42660550458715596</v>
      </c>
      <c r="J52" s="101">
        <f>F52-H52</f>
        <v>125</v>
      </c>
      <c r="K52" s="184">
        <f>J52/F52</f>
        <v>0.57339449541284404</v>
      </c>
    </row>
    <row r="54" spans="2:11" ht="13">
      <c r="B54" s="101" t="str">
        <f ca="1">IFERROR(__xludf.DUMMYFUNCTION("UNIQUE(Pilot!S:S)"),"Привязка ""инструмент - индикатор""")</f>
        <v>Привязка "инструмент - индикатор"</v>
      </c>
    </row>
    <row r="55" spans="2:11" ht="13">
      <c r="B55" s="101" t="str">
        <f ca="1">IFERROR(__xludf.DUMMYFUNCTION("""COMPUTED_VALUE"""),"")</f>
        <v/>
      </c>
    </row>
    <row r="56" spans="2:11" ht="13">
      <c r="B56" s="101" t="str">
        <f ca="1">IFERROR(__xludf.DUMMYFUNCTION("""COMPUTED_VALUE"""),"inst_to_ind")</f>
        <v>inst_to_ind</v>
      </c>
    </row>
    <row r="57" spans="2:11" ht="13">
      <c r="B57" s="101">
        <f ca="1">IFERROR(__xludf.DUMMYFUNCTION("""COMPUTED_VALUE"""),19)</f>
        <v>19</v>
      </c>
    </row>
    <row r="58" spans="2:11" ht="13">
      <c r="B58" s="101" t="str">
        <f ca="1">IFERROR(__xludf.DUMMYFUNCTION("""COMPUTED_VALUE"""),"Построены центры культурного развития в субъектах Российской Федерации в городах с числом жителей до 300 000 человек")</f>
        <v>Построены центры культурного развития в субъектах Российской Федерации в городах с числом жителей до 300 000 человек</v>
      </c>
    </row>
    <row r="59" spans="2:11" ht="13">
      <c r="B59" s="101" t="str">
        <f ca="1">IFERROR(__xludf.DUMMYFUNCTION("""COMPUTED_VALUE"""),"индикатор")</f>
        <v>индикатор</v>
      </c>
      <c r="C59" s="101" t="e">
        <f ca="1">COUNTIFS(Мероприятия!#REF!,B59,Мероприятия!P:S,"sum&gt;0")</f>
        <v>#REF!</v>
      </c>
    </row>
    <row r="60" spans="2:11" ht="13">
      <c r="B60" s="101" t="str">
        <f ca="1">IFERROR(__xludf.DUMMYFUNCTION("""COMPUTED_VALUE"""),"Оцифрованы фильмовые материалы на цифровых носителях Госфильмофонда России")</f>
        <v>Оцифрованы фильмовые материалы на цифровых носителях Госфильмофонда России</v>
      </c>
    </row>
    <row r="61" spans="2:11" ht="13">
      <c r="B61" s="101" t="str">
        <f ca="1">IFERROR(__xludf.DUMMYFUNCTION("""COMPUTED_VALUE"""),"Проведены культурно-просветительские программы для школьников")</f>
        <v>Проведены культурно-просветительские программы для школьников</v>
      </c>
    </row>
    <row r="62" spans="2:11" ht="13">
      <c r="B62" s="101" t="str">
        <f ca="1">IFERROR(__xludf.DUMMYFUNCTION("""COMPUTED_VALUE"""),"Реализованы культурно - просветительские программы для духовно - нравственного развития и патриотического воспитания школьников: школьники, охваченные программами , тыс. человек нарастающим итогом")</f>
        <v>Реализованы культурно - просветительские программы для духовно - нравственного развития и патриотического воспитания школьников: школьники, охваченные программами , тыс. человек нарастающим итогом</v>
      </c>
    </row>
    <row r="63" spans="2:11" ht="13">
      <c r="B63" s="101" t="str">
        <f ca="1">IFERROR(__xludf.DUMMYFUNCTION("""COMPUTED_VALUE"""),"нет привязки к индикатору")</f>
        <v>нет привязки к индикатору</v>
      </c>
    </row>
    <row r="64" spans="2:11" ht="13">
      <c r="B64" s="101" t="str">
        <f ca="1">IFERROR(__xludf.DUMMYFUNCTION("""COMPUTED_VALUE"""),"Повышена квалификация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f>
        <v>Повышена квалификация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v>
      </c>
    </row>
    <row r="65" spans="2:2" ht="13">
      <c r="B65" s="101" t="str">
        <f ca="1">IFERROR(__xludf.DUMMYFUNCTION("""COMPUTED_VALUE"""),"Проведена программа «Волонтеры культуры»")</f>
        <v>Проведена программа «Волонтеры культуры»</v>
      </c>
    </row>
    <row r="66" spans="2:2" ht="13">
      <c r="B66" s="101" t="str">
        <f ca="1">IFERROR(__xludf.DUMMYFUNCTION("""COMPUTED_VALUE"""),"Обеспечено функционирование магистральных каналов связи на территории Чукотского автономного округа в соответствии с показателями, предусмотренными планом-графиком присоединения Чукотского автономного округа к единой сети электросвязи Российской Федерации"&amp;", разработанным Минкомсвязью России")</f>
        <v>Обеспечено функционирование магистральных каналов связи на территории Чукотского автономного округа в соответствии с показателями, предусмотренными планом-графиком присоединения Чукотского автономного округа к единой сети электросвязи Российской Федерации, разработанным Минкомсвязью России</v>
      </c>
    </row>
    <row r="67" spans="2:2" ht="13">
      <c r="B67" s="101" t="str">
        <f ca="1">IFERROR(__xludf.DUMMYFUNCTION("""COMPUTED_VALUE"""),"Разработан и реализован комплекс мер по совершенствованию регулирования узкополосных беспроводных сетей связи «Интернета вещей» на территории Российской Федерации")</f>
        <v>Разработан и реализован комплекс мер по совершенствованию регулирования узкополосных беспроводных сетей связи «Интернета вещей» на территории Российской Федерации</v>
      </c>
    </row>
    <row r="68" spans="2:2" ht="13">
      <c r="B68" s="101" t="str">
        <f ca="1">IFERROR(__xludf.DUMMYFUNCTION("""COMPUTED_VALUE"""),"Определены диапазоны радиочастот для создания сетей радиосвязи 5G в Российской Федерации")</f>
        <v>Определены диапазоны радиочастот для создания сетей радиосвязи 5G в Российской Федерации</v>
      </c>
    </row>
    <row r="69" spans="2:2" ht="13">
      <c r="B69" s="101" t="str">
        <f ca="1">IFERROR(__xludf.DUMMYFUNCTION("""COMPUTED_VALUE"""),"Поддержаны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цифрово"&amp;"й экономики, создаваемого в форме инвестиционного товарищества.")</f>
        <v>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цифровой экономики, создаваемого в форме инвестиционного товарищества.</v>
      </c>
    </row>
    <row r="70" spans="2:2" ht="13">
      <c r="B70" s="101" t="str">
        <f ca="1">IFERROR(__xludf.DUMMYFUNCTION("""COMPUTED_VALUE"""),"Обеспечена экспертно-аналитическая и научно-методическая поддержка уполномоченного федерального органа исполнительной власти, ответственного за реализацию плана мероприятий федерального проекта «Нормативное регулирование цифровой среды» национальной прогр"&amp;"аммы «Цифровая экономика Российской Федерации»")</f>
        <v>Обеспечена экспертно-аналитическая и научно-методическая поддержка уполномоченного федерального органа исполнительной власти, ответственного за реализацию плана мероприятий федерального проекта «Нормативное регулирование цифровой среды» национальной программы «Цифровая экономика Российской Федерации»</v>
      </c>
    </row>
    <row r="71" spans="2:2" ht="13">
      <c r="B71" s="101" t="str">
        <f ca="1">IFERROR(__xludf.DUMMYFUNCTION("""COMPUTED_VALUE"""),"Обеспечение доступа к оказанию государтсвенных услуг в электронном доступе. Сформирована цифровая платформа для взаимодействия всфере государственного управления.")</f>
        <v>Обеспечение доступа к оказанию государтсвенных услуг в электронном доступе. Сформирована цифровая платформа для взаимодействия всфере государственного управления.</v>
      </c>
    </row>
    <row r="72" spans="2:2" ht="13">
      <c r="B72" s="101" t="str">
        <f ca="1">IFERROR(__xludf.DUMMYFUNCTION("""COMPUTED_VALUE"""),"Внедрена система управления жизненным циклом объектов капитального строительства на основе технологий информационного моделирования («Цифровое строительство»)")</f>
        <v>Внедрена система управления жизненным циклом объектов капитального строительства на основе технологий информационного моделирования («Цифровое строительство»)</v>
      </c>
    </row>
    <row r="73" spans="2:2" ht="13">
      <c r="B73" s="101" t="str">
        <f ca="1">IFERROR(__xludf.DUMMYFUNCTION("""COMPUTED_VALUE"""),"Сформированы правовые условия в сфере судопроизводства и нотариата в связи с развитием цифровой экономики в части:
 - унификации правил подачи исковых заявлений, жалоб, ходатайств, а также иных заявлений и ходатайств в электронной форме, а также допустимо"&amp;"сти электронных доказательств; 
 - дистанционного участия в судебном заседании; 
 - развития инструментов электронного нотариата (изготовление нотариальных документов в электронной форме, дистанционное совершение нотариальных действий и т.д.)")</f>
        <v>Сформированы правовые условия в сфере судопроизводства и нотариата в связи с развитием цифровой экономики в части:
 - унификации правил подачи исковых заявлений, жалоб, ходатайств, а также иных заявлений и ходатайств в электронной форме, а также допустимости электронных доказательств; 
 - дистанционного участия в судебном заседании; 
 - развития инструментов электронного нотариата (изготовление нотариальных документов в электронной форме, дистанционное совершение нотариальных действий и т.д.)</v>
      </c>
    </row>
    <row r="74" spans="2:2" ht="13">
      <c r="B74" s="101" t="str">
        <f ca="1">IFERROR(__xludf.DUMMYFUNCTION("""COMPUTED_VALUE"""),"утверждены концепция")</f>
        <v>утверждены концепция</v>
      </c>
    </row>
    <row r="75" spans="2:2" ht="13">
      <c r="B75" s="101" t="str">
        <f ca="1">IFERROR(__xludf.DUMMYFUNCTION("""COMPUTED_VALUE"""),"Не менее 70% обучающихся общеобразовательных организаций вовлечены в различные формы сопровождения и наставничества")</f>
        <v>Не менее 70% обучающихся общеобразовательных организаций вовлечены в различные формы сопровождения и наставничества</v>
      </c>
    </row>
    <row r="76" spans="2:2" ht="13">
      <c r="B76" s="101" t="str">
        <f ca="1">IFERROR(__xludf.DUMMYFUNCTION("""COMPUTED_VALUE"""),"Проведена оценка качества общего образования на основе практики международных исследований качества подготовки обучающихся")</f>
        <v>Проведена оценка качества общего образования на основе практики международных исследований качества подготовки обучающихся</v>
      </c>
    </row>
    <row r="77" spans="2:2" ht="13">
      <c r="B77" s="101" t="str">
        <f ca="1">IFERROR(__xludf.DUMMYFUNCTION("""COMPUTED_VALUE"""),"Не менее чем в 70% общеобразовательных организаций реализуются механизмы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f>
        <v>Не менее чем в 70% общеобразовательных организаций реализуются механизмы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v>
      </c>
    </row>
    <row r="78" spans="2:2" ht="13">
      <c r="B78" s="101" t="str">
        <f ca="1">IFERROR(__xludf.DUMMYFUNCTION("""COMPUTED_VALUE"""),"Обеспечено внедрение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f>
        <v>Обеспечено внедрение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v>
      </c>
    </row>
    <row r="79" spans="2:2" ht="13">
      <c r="B79" s="101" t="str">
        <f ca="1">IFERROR(__xludf.DUMMYFUNCTION("""COMPUTED_VALUE"""),"Созданы центры непрерывного образования и повышения квалификации творческих и управленческих кадров в сфере культуры на базе творческих вузов.")</f>
        <v>Созданы центры непрерывного образования и повышения квалификации творческих и управленческих кадров в сфере культуры на базе творческих вузов.</v>
      </c>
    </row>
    <row r="80" spans="2:2" ht="13">
      <c r="B80" s="101" t="str">
        <f ca="1">IFERROR(__xludf.DUMMYFUNCTION("""COMPUTED_VALUE"""),"Не менее чем 70% обучающихся организаций, осуществляющих образовательную деятельность по дополнительным общеобразовательным программам, вовлечены в различные формы наставничества")</f>
        <v>Не менее чем 70% обучающихся организаций, осуществляющих образовательную деятельность по дополнительным общеобразовательным программам, вовлечены в различные формы наставничества</v>
      </c>
    </row>
    <row r="81" spans="2:2" ht="13">
      <c r="B81" s="101" t="str">
        <f ca="1">IFERROR(__xludf.DUMMYFUNCTION("""COMPUTED_VALUE"""),"Оказано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числе"&amp;" с привлечением НКО")</f>
        <v>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НКО</v>
      </c>
    </row>
    <row r="82" spans="2:2" ht="13">
      <c r="B82" s="101" t="str">
        <f ca="1">IFERROR(__xludf.DUMMYFUNCTION("""COMPUTED_VALUE"""),"Создан и функционирует Центр цифровой трансформации образования")</f>
        <v>Создан и функционирует Центр цифровой трансформации образования</v>
      </c>
    </row>
    <row r="83" spans="2:2" ht="13">
      <c r="B83" s="101" t="str">
        <f ca="1">IFERROR(__xludf.DUMMYFUNCTION("""COMPUTED_VALUE"""),"Обеспечено развитие информационно-телекоммуникационной инфраструктуры объектов общеобразовательных организаций")</f>
        <v>Обеспечено развитие информационно-телекоммуникационной инфраструктуры объектов общеобразовательных организаций</v>
      </c>
    </row>
    <row r="84" spans="2:2" ht="13">
      <c r="B84" s="101" t="str">
        <f ca="1">IFERROR(__xludf.DUMMYFUNCTION("""COMPUTED_VALUE"""),"Не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f>
        <v>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v>
      </c>
    </row>
    <row r="85" spans="2:2" ht="13">
      <c r="B85" s="101" t="str">
        <f ca="1">IFERROR(__xludf.DUMMYFUNCTION("""COMPUTED_VALUE"""),"Не менее 70% учителей в возрасте до 35 лет вовлечены в различные формы поддержки и сопровождения в первые три года работы")</f>
        <v>Не менее 70% учителей в возрасте до 35 лет вовлечены в различные формы поддержки и сопровождения в первые три года работы</v>
      </c>
    </row>
    <row r="86" spans="2:2" ht="13">
      <c r="B86" s="101" t="str">
        <f ca="1">IFERROR(__xludf.DUMMYFUNCTION("""COMPUTED_VALUE"""),"Создано 5000 мастерских, оснащенных современной материально-технической базой по одной из компетенций")</f>
        <v>Создано 5000 мастерских, оснащенных современной материально-технической базой по одной из компетенций</v>
      </c>
    </row>
    <row r="87" spans="2:2" ht="13">
      <c r="B87" s="101" t="str">
        <f ca="1">IFERROR(__xludf.DUMMYFUNCTION("""COMPUTED_VALUE"""),"Не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f>
        <v>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v>
      </c>
    </row>
    <row r="88" spans="2:2" ht="13">
      <c r="B88" s="101" t="str">
        <f ca="1">IFERROR(__xludf.DUMMYFUNCTION("""COMPUTED_VALUE"""),"Создано 100 центров опережающей профессиональной подготовки")</f>
        <v>Создано 100 центров опережающей профессиональной подготовки</v>
      </c>
    </row>
    <row r="89" spans="2:2" ht="13">
      <c r="B89" s="101" t="str">
        <f ca="1">IFERROR(__xludf.DUMMYFUNCTION("""COMPUTED_VALUE"""),"К 2024 году не менее 20% обучающихся по образовательным программам высшего образования осваивают отдельные курсы, дисциплины (модули), в том числе в формате онлайн-курсов, с использованием ресурсов иных организаций, осуществляющих образовательную деятельн"&amp;"ость, в том числе университетов, обеспечивающих соответствие качества подготовки обучающихся мировому уровню")</f>
        <v>К 2024 году не менее 20% обучающихся по образовательным программам высшего образования осваивают отдельные курсы, дисциплины (модули), в том числе в формате онлайн-курсов, с использованием ресурсов иных организаций, осуществляющих образовательную деятельность, в том числе университетов, обеспечивающих соответствие качества подготовки обучающихся мировому уровню</v>
      </c>
    </row>
    <row r="90" spans="2:2" ht="13">
      <c r="B90" s="101" t="str">
        <f ca="1">IFERROR(__xludf.DUMMYFUNCTION("""COMPUTED_VALUE"""),"Прошли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f>
        <v>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v>
      </c>
    </row>
    <row r="91" spans="2:2" ht="13">
      <c r="B91" s="101" t="str">
        <f ca="1">IFERROR(__xludf.DUMMYFUNCTION("""COMPUTED_VALUE"""),"Осуществлены мероприятия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("&amp;"волонтерства),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числе"&amp;"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учрежде"&amp;"ний, осуществляющих деятельность в сфере добровольчества (волонтерства)")</f>
        <v>Осуществлены мероприятия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v>
      </c>
    </row>
    <row r="92" spans="2:2" ht="13">
      <c r="B92" s="101" t="str">
        <f ca="1">IFERROR(__xludf.DUMMYFUNCTION("""COMPUTED_VALUE"""),"На базе подмосковного образовательного молодежного центра (Мастерской управления ""Сенеж"") проведены образовательные мероприятия, ежегодное количество участников которых не менее 12 тыс. человек, в том числе проведены мероприятия проектов платформы ""Рос"&amp;"сия - страна возможностей""")</f>
        <v>На базе подмосковного образовательного молодежного центра (Мастерской управления "Сенеж") проведены образовательные мероприятия, ежегодное количество участников которых не менее 12 тыс. человек, в том числе проведены мероприятия проектов платформы "Россия - страна возможностей"</v>
      </c>
    </row>
    <row r="93" spans="2:2" ht="13">
      <c r="B93" s="101" t="str">
        <f ca="1">IFERROR(__xludf.DUMMYFUNCTION("""COMPUTED_VALUE"""),"Ежегодно, начиная с 2019 года, в весенне-летний период разработаны и проведены 10 образовательных программ в рамках Форума молодых деятелей культуры и искусства ""Таврида"" . 
 На базе образовательного центра для молодых деятелей культуры и искусства ""Ар"&amp;"т-резиденция ""Таврида"", начиная с 2022 года, ежегодно в период с сентября по июнь включительно проводятся по две 10-дневные смены.")</f>
        <v>Ежегодно, начиная с 2019 года, в весенне-летний период разработаны и проведены 10 образовательных программ в рамках Форума молодых деятелей культуры и искусства "Таврида" . 
 На базе образовательного центра для молодых деятелей культуры и искусства "Арт-резиденция "Таврида", начиная с 2022 года, ежегодно в период с сентября по июнь включительно проводятся по две 10-дневные смены.</v>
      </c>
    </row>
    <row r="94" spans="2:2" ht="13">
      <c r="B94" s="101" t="str">
        <f ca="1">IFERROR(__xludf.DUMMYFUNCTION("""COMPUTED_VALUE"""),"Реализовано не менее 3 всероссийских, 4 окружных молодежных проектов и мероприятий по различным направлениям добровольчества")</f>
        <v>Реализовано не менее 3 всероссийских, 4 окружных молодежных проектов и мероприятий по различным направлениям добровольчества</v>
      </c>
    </row>
    <row r="95" spans="2:2" ht="13">
      <c r="B95" s="101" t="str">
        <f ca="1">IFERROR(__xludf.DUMMYFUNCTION("""COMPUTED_VALUE"""),"Оказана поддержка организации, деятельность которой направлена на эффективное развитие волонтерских (добровольческих) инициатив в сфере образования, физической культуры, здравоохранения, спорта, культуры, гражданско-патриотического воспитания, охраны окру"&amp;"жающей среды, социальной защиты населения и информационных технологий, в том числе на формирование единой площадки по взаимодействию институтов добровольческой (волонтерской) деятельности, создание унифицированной системы учета добровольческой (волонтерск"&amp;"ой) деятельности. К 2024 году не менее 1 100 тыс. человек использует единую информационную систему в сфере развития добровольчества, представляющую собой систему эффективного поиска информации, взаимодействия, коммуникации и обучения добровольцев, комплек"&amp;"сного учета волонтерского опыта и компетенций, объединения запросов и предложений волонтерской помощи в одном месте, способствующую комплексному решению задач по созданию условий для развития добровольчества")</f>
        <v>Оказана поддержка организации, деятельность которой направлена на эффективное развитие волонтерских (добровольческих) инициатив в сфере образования, физической культуры, здравоохранения, спорта, культуры, гражданско-патриотического воспитания, охраны окружающей среды, социальной защиты населения и информационных технологий, в том числе на формирование единой площадки по взаимодействию институтов добровольческой (волонтерской) деятельности, создание унифицированной системы учета добровольческой (волонтерской) деятельности. К 2024 году не менее 1 100 тыс. человек использует единую информационную систему в сфере развития добровольчества, представляющую собой систему эффективного поиска информации, взаимодействия, коммуникации и обучения добровольцев, комплексного учета волонтерского опыта и компетенций, объединения запросов и предложений волонтерской помощи в одном месте, способствующую комплексному решению задач по созданию условий для развития добровольчества</v>
      </c>
    </row>
    <row r="96" spans="2:2" ht="13">
      <c r="B96" s="101" t="str">
        <f ca="1">IFERROR(__xludf.DUMMYFUNCTION("""COMPUTED_VALUE"""),"В целях популяризации добровольчества (волонтерства) проведена информационная и рекламная кампания, в том числе рекламные ролики на ТВ и в сети ""Интернет"", охват аудитории теле- и радиорекламы составляет не менее 10 000 000 человек ежегодно, а также в с"&amp;"ети ""Интернет"" и социальных сетях размещается не менее 1 000 информационных материалов в год")</f>
        <v>В целях популяризации добровольчества (волонтерства) проведена информационная и рекламная кампания, в том числе рекламные ролики на ТВ и в сети "Интернет", охват аудитории теле- и радиорекламы составляет не менее 10 000 000 человек ежегодно, а также в сети "Интернет" и социальных сетях размещается не менее 1 000 информационных материалов в год</v>
      </c>
    </row>
    <row r="97" spans="2:2" ht="13">
      <c r="B97" s="101" t="str">
        <f ca="1">IFERROR(__xludf.DUMMYFUNCTION("""COMPUTED_VALUE"""),"Проходят обучение в летних и зимних школах, в том числе на базе летних оздоровительных лагерей, тыс. иностранных граждан нарастающим итогом:")</f>
        <v>Проходят обучение в летних и зимних школах, в том числе на базе летних оздоровительных лагерей, тыс. иностранных граждан нарастающим итогом:</v>
      </c>
    </row>
    <row r="98" spans="2:2" ht="13">
      <c r="B98" s="101" t="str">
        <f ca="1">IFERROR(__xludf.DUMMYFUNCTION("""COMPUTED_VALUE"""),"Обеспечены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реконст"&amp;"рукция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f>
        <v>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v>
      </c>
    </row>
    <row r="99" spans="2:2" ht="13">
      <c r="B99" s="101" t="str">
        <f ca="1">IFERROR(__xludf.DUMMYFUNCTION("""COMPUTED_VALUE"""),"Из числа иностранных обучающихся, завершивших обучение в организациях, осуществляющих образовательную деятельность по программам высшего образования, по востребованным (дефицитным) направлениям подготовки, не менее 5% трудоустроено в российских компаниях,"&amp;" в том числе для работы за рубежом")</f>
        <v>Из числа иностранных обучающихся, завершивших обучение в организациях, осуществляющих образовательную деятельность по программам высшего образования, по востребованным (дефицитным) направлениям подготовки, не менее 5% трудоустроено в российских компаниях, в том числе для работы за рубежом</v>
      </c>
    </row>
    <row r="100" spans="2:2" ht="13">
      <c r="B100" s="101" t="str">
        <f ca="1">IFERROR(__xludf.DUMMYFUNCTION("""COMPUTED_VALUE"""),"Разработаны не менее 10 специализированных сайтов в сети ""Интернет"" для привлечения на обучение иностранных граждан, ориентированных на конкретную аудиторию с учетом референтных групп стран-партнеров")</f>
        <v>Разработаны не менее 10 специализированных сайтов в сети "Интернет" для привлечения на обучение иностранных граждан, ориентированных на конкретную аудиторию с учетом референтных групп стран-партнеров</v>
      </c>
    </row>
    <row r="101" spans="2:2" ht="13">
      <c r="B101" s="101" t="str">
        <f ca="1">IFERROR(__xludf.DUMMYFUNCTION("""COMPUTED_VALUE"""),"Обеспечено информационное сопровождение национального проекта ""Образование""")</f>
        <v>Обеспечено информационное сопровождение национального проекта "Образование"</v>
      </c>
    </row>
    <row r="102" spans="2:2" ht="13">
      <c r="B102" s="101" t="str">
        <f ca="1">IFERROR(__xludf.DUMMYFUNCTION("""COMPUTED_VALUE"""),"Обеспечено проведение конкурсов в целях предоставления гражданам возможностей для профессионального и карьерного роста")</f>
        <v>Обеспечено проведение конкурсов в целях предоставления гражданам возможностей для профессионального и карьерного роста</v>
      </c>
    </row>
    <row r="103" spans="2:2" ht="13">
      <c r="B103" s="101" t="str">
        <f ca="1">IFERROR(__xludf.DUMMYFUNCTION("""COMPUTED_VALUE"""),"Достигнуто значение не менее 130% соотношения расселяемого непригодного для проживания жилищного фонда к признаваемому в соответствующем году, с учетом уточнения критериев признания многоквартирных домов аварийными")</f>
        <v>Достигнуто значение не менее 130% соотношения расселяемого непригодного для проживания жилищного фонда к признаваемому в соответствующем году, с учетом уточнения критериев признания многоквартирных домов аварийными</v>
      </c>
    </row>
    <row r="104" spans="2:2" ht="13">
      <c r="B104" s="101" t="str">
        <f ca="1">IFERROR(__xludf.DUMMYFUNCTION("""COMPUTED_VALUE"""),"Модернизирована единая государственная система учета отходов, в части дополнения функционалом по обращению с ТКО (содержащая данные о мощностях и местах расположения ТКО, их специализации (захоронение, сортировка, переработка), маршрутах транспортировки Т"&amp;"КО к полигонам, а также планируемых к строительству объектах по обращению с ТКО)(во всех 85 субъектах Российской Федерации)")</f>
        <v>Модернизирована единая государственная система учета отходов, в части дополнения функционалом по обращению с ТКО (содержащая данные о мощностях и местах расположения ТКО, их специализации (захоронение, сортировка, переработка), маршрутах транспортировки ТКО к полигонам, а также планируемых к строительству объектах по обращению с ТКО)(во всех 85 субъектах Российской Федерации)</v>
      </c>
    </row>
    <row r="105" spans="2:2" ht="13">
      <c r="B105" s="101" t="str">
        <f ca="1">IFERROR(__xludf.DUMMYFUNCTION("""COMPUTED_VALUE"""),"Снижен совокупный объем выбросов загрязняющих веществ в атмосферный воздух за отчетный год.")</f>
        <v>Снижен совокупный объем выбросов загрязняющих веществ в атмосферный воздух за отчетный год.</v>
      </c>
    </row>
    <row r="106" spans="2:2" ht="13">
      <c r="B106" s="101" t="str">
        <f ca="1">IFERROR(__xludf.DUMMYFUNCTION("""COMPUTED_VALUE"""),"Введены в промышленную эксплуатацию мощности по обращению с ТКО, в том числе:
 - по утилизации и переработке ТКО, нарастающим итогом")</f>
        <v>Введены в промышленную эксплуатацию мощности по обращению с ТКО, в том числе:
 - по утилизации и переработке ТКО, нарастающим итогом</v>
      </c>
    </row>
    <row r="107" spans="2:2" ht="13">
      <c r="B107" s="101" t="str">
        <f ca="1">IFERROR(__xludf.DUMMYFUNCTION("""COMPUTED_VALUE"""),"Реализованы инфраструктурные проекты по созданию объектов обращения с отходами I и II классов опасности в соответствии с федеральной схемой обращения с отходами I и II классов опасности.")</f>
        <v>Реализованы инфраструктурные проекты по созданию объектов обращения с отходами I и II классов опасности в соответствии с федеральной схемой обращения с отходами I и II классов опасности.</v>
      </c>
    </row>
    <row r="108" spans="2:2" ht="13">
      <c r="B108" s="101" t="str">
        <f ca="1">IFERROR(__xludf.DUMMYFUNCTION("""COMPUTED_VALUE"""),"Перепрофилированы объекты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f>
        <v>Перепрофилированы объекты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v>
      </c>
    </row>
    <row r="109" spans="2:2" ht="13">
      <c r="B109" s="101" t="str">
        <f ca="1">IFERROR(__xludf.DUMMYFUNCTION("""COMPUTED_VALUE"""),"В 8 городах (Нижнем Тагиле, Новокузнецке, Чите, Братске, Красноярске, Челябинске, Магнитогорске и Норильске) снижен уровень загрязнения атмосферного воздуха (с высокого и очень высокого уровня).")</f>
        <v>В 8 городах (Нижнем Тагиле, Новокузнецке, Чите, Братске, Красноярске, Челябинске, Магнитогорске и Норильске) снижен уровень загрязнения атмосферного воздуха (с высокого и очень высокого уровня).</v>
      </c>
    </row>
    <row r="110" spans="2:2" ht="13">
      <c r="B110" s="101" t="str">
        <f ca="1">IFERROR(__xludf.DUMMYFUNCTION("""COMPUTED_VALUE"""),"Обеспечено качественной питьевой водой 95,5% городского населения Российской Федерации")</f>
        <v>Обеспечено качественной питьевой водой 95,5% городского населения Российской Федерации</v>
      </c>
    </row>
    <row r="111" spans="2:2" ht="13">
      <c r="B111" s="101" t="str">
        <f ca="1">IFERROR(__xludf.DUMMYFUNCTION("""COMPUTED_VALUE"""),"Обеспечено сокращение отведения в реку Волгу загрязненных сточных вод на 2,12 куб. км путем завершения работ по строительству, реконструкции (модернизации) очистных сооружений")</f>
        <v>Обеспечено сокращение отведения в реку Волгу загрязненных сточных вод на 2,12 куб. км путем завершения работ по строительству, реконструкции (модернизации) очистных сооружений</v>
      </c>
    </row>
    <row r="112" spans="2:2" ht="13">
      <c r="B112" s="101" t="str">
        <f ca="1">IFERROR(__xludf.DUMMYFUNCTION("""COMPUTED_VALUE"""),"Построен комплекс гидротехнических сооружений для дополнительного обводнения реки Ахтубы")</f>
        <v>Построен комплекс гидротехнических сооружений для дополнительного обводнения реки Ахтубы</v>
      </c>
    </row>
    <row r="113" spans="2:2" ht="13">
      <c r="B113" s="101" t="str">
        <f ca="1">IFERROR(__xludf.DUMMYFUNCTION("""COMPUTED_VALUE"""),"Увеличена площадь лесовосстановления, повышено качество и эффективность работ по лесовосстановлению на арендованных лесных участках.")</f>
        <v>Увеличена площадь лесовосстановления, повышено качество и эффективность работ по лесовосстановлению на арендованных лесных участках.</v>
      </c>
    </row>
    <row r="114" spans="2:2" ht="13">
      <c r="B114" s="101" t="str">
        <f ca="1">IFERROR(__xludf.DUMMYFUNCTION("""COMPUTED_VALUE"""),"Увеличена площадь искусственного лесовосстановления за счет внебюджетных средств учреждений субъектов Российской Федерации")</f>
        <v>Увеличена площадь искусственного лесовосстановления за счет внебюджетных средств учреждений субъектов Российской Федерации</v>
      </c>
    </row>
    <row r="115" spans="2:2" ht="13">
      <c r="B115" s="101" t="str">
        <f ca="1">IFERROR(__xludf.DUMMYFUNCTION("""COMPUTED_VALUE"""),"Увеличена площадь лесовосстановления, повышено качество и эффективность работ по лесовосстановлению на лесных участках непереданных в аренду.")</f>
        <v>Увеличена площадь лесовосстановления, повышено качество и эффективность работ по лесовосстановлению на лесных участках непереданных в аренду.</v>
      </c>
    </row>
    <row r="116" spans="2:2" ht="13">
      <c r="B116" s="101" t="str">
        <f ca="1">IFERROR(__xludf.DUMMYFUNCTION("""COMPUTED_VALUE"""),"Реализован механизм предоставления субсидий из федерального бюджета российским организациям на возмещение части затрат на выплату купонного дохода по облигациям, выпущенным в рамках реализации инвестиционных проектов по внедрению наилучших доступных техно"&amp;"логий на объектах, оказывающих значительное негативное воздействие на окружающую среду и относящихся к областям применения наилучших доступных технологий")</f>
        <v>Реализован механизм предоставления субсидий из федерального бюджета российским организациям на возмещение части затрат на выплату купонного дохода по облигациям, выпущенным в рамках реализации инвестиционных проектов по внедрению наилучших доступных технологий на объектах, оказывающих значительное негативное воздействие на окружающую среду и относящихся к областям применения наилучших доступных технологий</v>
      </c>
    </row>
    <row r="117" spans="2:2" ht="13">
      <c r="B117" s="101" t="str">
        <f ca="1">IFERROR(__xludf.DUMMYFUNCTION("""COMPUTED_VALUE"""),"Выданы комплексные экологические разрешения всем объектам, оказывающим значительное негативное воздействие на окружающую среду и относящимся к областям применения наилучших доступных технологий (далее - НДТ), нарастающим итогом")</f>
        <v>Выданы комплексные экологические разрешения всем объектам, оказывающим значительное негативное воздействие на окружающую среду и относящимся к областям применения наилучших доступных технологий (далее - НДТ), нарастающим итогом</v>
      </c>
    </row>
    <row r="118" spans="2:2" ht="13">
      <c r="B118" s="101" t="str">
        <f ca="1">IFERROR(__xludf.DUMMYFUNCTION("""COMPUTED_VALUE"""),"На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климата»"&amp;"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мен"&amp;"ее (нарастающим итогом):")</f>
        <v>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менее (нарастающим итогом):</v>
      </c>
    </row>
    <row r="119" spans="2:2" ht="13">
      <c r="B119" s="101" t="str">
        <f ca="1">IFERROR(__xludf.DUMMYFUNCTION("""COMPUTED_VALUE"""),"Освобождены от обязанности предоставления налоговой декларации не менее 1,2 млн. налогоплательщиков – субъектов МСП, применяющих упрощенную систему налогообложения с объектом налогообложения в виде доходов и использующих контрольно-кассовую технику в 2020"&amp;"-2024 годах")</f>
        <v>Освобождены от обязанности предоставления налоговой декларации не менее 1,2 млн. налогоплательщиков – субъектов МСП, применяющих упрощенную систему налогообложения с объектом налогообложения в виде доходов и использующих контрольно-кассовую технику в 2020-2024 годах</v>
      </c>
    </row>
    <row r="120" spans="2:2" ht="13">
      <c r="B120" s="101" t="str">
        <f ca="1">IFERROR(__xludf.DUMMYFUNCTION("""COMPUTED_VALUE"""),"Реализация мероприятий по социально-экономическому развитию субъектов Российской Федерации, входящих в состав Северо-Кавказского федерального округа")</f>
        <v>Реализация мероприятий по социально-экономическому развитию субъектов Российской Федерации, входящих в состав Северо-Кавказского федерального округа</v>
      </c>
    </row>
    <row r="121" spans="2:2" ht="13">
      <c r="B121" s="101" t="str">
        <f ca="1">IFERROR(__xludf.DUMMYFUNCTION("""COMPUTED_VALUE"""),"Обеспечен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f>
        <v>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v>
      </c>
    </row>
    <row r="122" spans="2:2" ht="13">
      <c r="B122" s="101" t="str">
        <f ca="1">IFERROR(__xludf.DUMMYFUNCTION("""COMPUTED_VALUE"""),"Общее количество объектов государственного и муниципального имущества, включенных в перечни государственного и муниципального имущества для предоставления субъектам МСП на льготных условиях, тыс. ед. нарастающим итогом")</f>
        <v>Общее количество объектов государственного и муниципального имущества, включенных в перечни государственного и муниципального имущества для предоставления субъектам МСП на льготных условиях, тыс. ед. нарастающим итогом</v>
      </c>
    </row>
    <row r="123" spans="2:2" ht="13">
      <c r="B123" s="101" t="str">
        <f ca="1">IFERROR(__xludf.DUMMYFUNCTION("""COMPUTED_VALUE"""),"Количество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4 и улучшивших показатели выручки и (или) численности занятых, достигло 2 160 тыс. е"&amp;"д. в 2019 - 2024 гг. (нарастающим итогом)")</f>
        <v>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4 и улучшивших показатели выручки и (или) численности занятых, достигло 2 160 тыс. ед. в 2019 - 2024 гг. (нарастающим итогом)</v>
      </c>
    </row>
    <row r="124" spans="2:2" ht="13">
      <c r="B124" s="101" t="str">
        <f ca="1">IFERROR(__xludf.DUMMYFUNCTION("""COMPUTED_VALUE"""),"Количество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 (или) численности занятых, достигло 2 160 тыс. ед"&amp;". в 2019 - 2024 гг. (нарастающим итогом)")</f>
        <v>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 (или) численности занятых, достигло 2 160 тыс. ед. в 2019 - 2024 гг. (нарастающим итогом)</v>
      </c>
    </row>
    <row r="125" spans="2:2" ht="13">
      <c r="B125" s="101" t="str">
        <f ca="1">IFERROR(__xludf.DUMMYFUNCTION("""COMPUTED_VALUE"""),"Создание прикладного программного обеспечение и централизованная ИТ-инфраструктура по внедрению подсистемы, обеспечивающей налогообложение доходов самозанятых граждан")</f>
        <v>Создание прикладного программного обеспечение и централизованная ИТ-инфраструктура по внедрению подсистемы, обеспечивающей налогообложение доходов самозанятых граждан</v>
      </c>
    </row>
    <row r="126" spans="2:2" ht="13">
      <c r="B126" s="101" t="str">
        <f ca="1">IFERROR(__xludf.DUMMYFUNCTION("""COMPUTED_VALUE"""),"Количество самозанятых граждан, зафиксировавших свой статус с учетом введения специального налогового режима для самозанятых, достигло 2 400,0 тыс. человек в 2019 г. - 2024 г. гг.")</f>
        <v>Количество самозанятых граждан, зафиксировавших свой статус с учетом введения специального налогового режима для самозанятых, достигло 2 400,0 тыс. человек в 2019 г. - 2024 г. гг.</v>
      </c>
    </row>
    <row r="127" spans="2:2" ht="13">
      <c r="B127" s="101" t="str">
        <f ca="1">IFERROR(__xludf.DUMMYFUNCTION("""COMPUTED_VALUE"""),"Предоставлена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f>
        <v>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v>
      </c>
    </row>
    <row r="128" spans="2:2" ht="13">
      <c r="B128" s="101" t="str">
        <f ca="1">IFERROR(__xludf.DUMMYFUNCTION("""COMPUTED_VALUE"""),"Обеспечен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М"&amp;"СП Дальневосточного федерального округа на реализацию проектов в приоритетных отраслях по льготной ставке, в размере 420,8 млрд. рублей в 2019 - 2024 годах, в том числе:")</f>
        <v>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Дальневосточного федерального округа на реализацию проектов в приоритетных отраслях по льготной ставке, в размере 420,8 млрд. рублей в 2019 - 2024 годах, в том числе:</v>
      </c>
    </row>
    <row r="129" spans="2:2" ht="13">
      <c r="B129" s="101" t="str">
        <f ca="1">IFERROR(__xludf.DUMMYFUNCTION("""COMPUTED_VALUE"""),"Обеспечен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М"&amp;"СП Северо-Кавказского федерального округа на реализацию проектов в приоритетных отраслях по льготной ставке, в размере 56,4 млрд. рублей в 2019 г.-2024 годах., в том числе:")</f>
        <v>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Северо-Кавказского федерального округа на реализацию проектов в приоритетных отраслях по льготной ставке, в размере 56,4 млрд. рублей в 2019 г.-2024 годах., в том числе:</v>
      </c>
    </row>
    <row r="130" spans="2:2" ht="13">
      <c r="B130" s="101" t="str">
        <f ca="1">IFERROR(__xludf.DUMMYFUNCTION("""COMPUTED_VALUE"""),"Объем кредитования субъектов МСП под залог прав на объекты интеллектуальной собственности, млрд. рублей")</f>
        <v>Объем кредитования субъектов МСП под залог прав на объекты интеллектуальной собственности, млрд. рублей</v>
      </c>
    </row>
    <row r="131" spans="2:2" ht="13">
      <c r="B131" s="101" t="str">
        <f ca="1">IFERROR(__xludf.DUMMYFUNCTION("""COMPUTED_VALUE"""),"Объем лизинговых сделок субъектов МСП с государственной поддержкой, млрд. рублей")</f>
        <v>Объем лизинговых сделок субъектов МСП с государственной поддержкой, млрд. рублей</v>
      </c>
    </row>
    <row r="132" spans="2:2" ht="13">
      <c r="B132" s="101" t="str">
        <f ca="1">IFERROR(__xludf.DUMMYFUNCTION("""COMPUTED_VALUE"""),"Предоставлены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суб"&amp;"сидирование ставки вознаграждения по микрозаймам субъектов МСП, в размере 21,433 млрд. рублей, в том числе:")</f>
        <v>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субсидирование ставки вознаграждения по микрозаймам субъектов МСП, в размере 21,433 млрд. рублей, в том числе:</v>
      </c>
    </row>
    <row r="133" spans="2:2" ht="13">
      <c r="B133" s="101" t="str">
        <f ca="1">IFERROR(__xludf.DUMMYFUNCTION("""COMPUTED_VALUE"""),"Обеспечен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субъекта"&amp;"х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руб"&amp;"лей,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к"&amp;" производственным площадям и помещениям в рамках промышленных парков, технопарков, млрд рублей")</f>
        <v>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 производственным площадям и помещениям в рамках промышленных парков, технопарков, млрд рублей</v>
      </c>
    </row>
    <row r="134" spans="2:2" ht="13">
      <c r="B134" s="101" t="str">
        <f ca="1">IFERROR(__xludf.DUMMYFUNCTION("""COMPUTED_VALUE"""),"Обеспечен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75"&amp;"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эксп"&amp;"орта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поддержки"&amp;" экспортно-ориентированных субъектов МСП, тыс. ед. нарастающим итогом")</f>
        <v>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 экспортно-ориентированных субъектов МСП, тыс. ед. нарастающим итогом</v>
      </c>
    </row>
    <row r="135" spans="2:2" ht="13">
      <c r="B135" s="101" t="str">
        <f ca="1">IFERROR(__xludf.DUMMYFUNCTION("""COMPUTED_VALUE"""),"Обеспечена организация ежегодных обучающих семинаров для центров компетенций в сфере сельскохозяйственной кооперации и поддержки фермеров")</f>
        <v>Обеспечена организация ежегодных обучающих семинаров для центров компетенций в сфере сельскохозяйственной кооперации и поддержки фермеров</v>
      </c>
    </row>
    <row r="136" spans="2:2" ht="13">
      <c r="B136" s="101" t="str">
        <f ca="1">IFERROR(__xludf.DUMMYFUNCTION("""COMPUTED_VALUE"""),"Количество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f>
        <v>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v>
      </c>
    </row>
    <row r="137" spans="2:2" ht="13">
      <c r="B137" s="101" t="str">
        <f ca="1">IFERROR(__xludf.DUMMYFUNCTION("""COMPUTED_VALUE"""),"В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и"&amp;" развитие института наставничества.
 Количество вновь созданных субъектов МСП достигнет (нарастающим итогом) 
 62000 ед. в 2024 г.")</f>
        <v>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
 Количество вновь созданных субъектов МСП достигнет (нарастающим итогом) 
 62000 ед. в 2024 г.</v>
      </c>
    </row>
    <row r="138" spans="2:2" ht="13">
      <c r="B138" s="101" t="str">
        <f ca="1">IFERROR(__xludf.DUMMYFUNCTION("""COMPUTED_VALUE"""),"Проведены международные стажировки для сотрудников предприятий - участников национального проекта")</f>
        <v>Проведены международные стажировки для сотрудников предприятий - участников национального проекта</v>
      </c>
    </row>
    <row r="139" spans="2:2" ht="13">
      <c r="B139" s="101" t="str">
        <f ca="1">IFERROR(__xludf.DUMMYFUNCTION("""COMPUTED_VALUE"""),"нет привязки к индикатор")</f>
        <v>нет привязки к индикатор</v>
      </c>
    </row>
    <row r="140" spans="2:2" ht="13">
      <c r="B140" s="101" t="str">
        <f ca="1">IFERROR(__xludf.DUMMYFUNCTION("""COMPUTED_VALUE"""),"В создании и тиражировании ""Новой модели медицинской организации, оказывающей первичную медико-санитарную помощь"", участвуют не менее 72,3% медицинских организаций, оказывающих данный вид помощи")</f>
        <v>В создании и тиражировании "Новой модели медицинской организации, оказывающей первичную медико-санитарную помощь", участвуют не менее 72,3% медицинских организаций, оказывающих данный вид помощи</v>
      </c>
    </row>
    <row r="141" spans="2:2" ht="13">
      <c r="B141" s="101" t="str">
        <f ca="1">IFERROR(__xludf.DUMMYFUNCTION("""COMPUTED_VALUE"""),"Проводится профилактика развития сердечно-сосудистых заболеваний и сердечно-сосудистых осложнений у пациентов высокого риска")</f>
        <v>Проводится профилактика развития сердечно-сосудистых заболеваний и сердечно-сосудистых осложнений у пациентов высокого риска</v>
      </c>
    </row>
    <row r="142" spans="2:2" ht="13">
      <c r="B142" s="101" t="str">
        <f ca="1">IFERROR(__xludf.DUMMYFUNCTION("""COMPUTED_VALUE"""),"Переоснащено/дооснащено медицинским оборудованием не менее 140 региональных сосудистых центров и 469 первичных сосудистых отделений в 85 субъектах Российской Федерации")</f>
        <v>Переоснащено/дооснащено медицинским оборудованием не менее 140 региональных сосудистых центров и 469 первичных сосудистых отделений в 85 субъектах Российской Федерации</v>
      </c>
    </row>
    <row r="143" spans="2:2" ht="13">
      <c r="B143" s="101" t="str">
        <f ca="1">IFERROR(__xludf.DUMMYFUNCTION("""COMPUTED_VALUE"""),"Финансовое обеспечение оказания медицинской помощи больным с онкологическими заболеваниями в соответствии с клиническими рекомендациями")</f>
        <v>Финансовое обеспечение оказания медицинской помощи больным с онкологическими заболеваниями в соответствии с клиническими рекомендациями</v>
      </c>
    </row>
    <row r="144" spans="2:2" ht="13">
      <c r="B144" s="101" t="str">
        <f ca="1">IFERROR(__xludf.DUMMYFUNCTION("""COMPUTED_VALUE"""),"В 85 субъектах Российской Федерации разработаны и утверждены региональные программы ""Борьба с онкологическими заболеваниями""")</f>
        <v>В 85 субъектах Российской Федерации разработаны и утверждены региональные программы "Борьба с онкологическими заболеваниями"</v>
      </c>
    </row>
    <row r="145" spans="2:2" ht="13">
      <c r="B145" s="101" t="str">
        <f ca="1">IFERROR(__xludf.DUMMYFUNCTION("""COMPUTED_VALUE"""),"Увеличен охват детей в возрасте 15-17 лет профилактическими медицинскими осмотрами с целью сохранения их репродуктивного здоровья (доля от общего числа детей подлежащих осмотрам), %")</f>
        <v>Увеличен охват детей в возрасте 15-17 лет профилактическими медицинскими осмотрами с целью сохранения их репродуктивного здоровья (доля от общего числа детей подлежащих осмотрам), %</v>
      </c>
    </row>
    <row r="146" spans="2:2" ht="13">
      <c r="B146" s="101" t="str">
        <f ca="1">IFERROR(__xludf.DUMMYFUNCTION("""COMPUTED_VALUE"""),"100% медицинских организаций государственной и муниципальной систем здравоохранения субъектов Российской Федерации обеспечивают межведомственное электронное взаимодействие, в том числе с учреждениями медико-социальной экспертизы.")</f>
        <v>100% медицинских организаций государственной и муниципальной систем здравоохранения субъектов Российской Федерации обеспечивают межведомственное электронное взаимодействие, в том числе с учреждениями медико-социальной экспертизы.</v>
      </c>
    </row>
    <row r="147" spans="2:2" ht="13">
      <c r="B147" s="101" t="str">
        <f ca="1">IFERROR(__xludf.DUMMYFUNCTION("""COMPUTED_VALUE"""),"85 субъектов реализовали региональные проекты «Создание единого цифрового контура в здравоохранении на основе единой государственной информационной системы здравоохранения (ЕГИСЗ)» с целью внедрения в медицинских организациях государственной и муниципальн"&amp;"ой систем здравоохранения медицинских информационных систем, соответствующих требованиям Минздрава России и реализации государственных информационных систем в сфере здравоохранения, соответствующих требованиям Минздрава России, обеспечивающих информационн"&amp;"ое взаимодействие с подсистемами ЕГИСЗ")</f>
        <v>85 субъектов реализовали региональные проекты «Создание единого цифрового контура в здравоохранении на основе единой государственной информационной системы здравоохранения (ЕГИСЗ)» с целью внедрения в медицинских организациях государственной и муниципальной систем здравоохранения медицинских информационных систем, соответствующих требованиям Минздрава России и реализации государственных информационных систем в сфере здравоохранения, соответствующих требованиям Минздрава России, обеспечивающих информационное взаимодействие с подсистемами ЕГИСЗ</v>
      </c>
    </row>
    <row r="148" spans="2:2" ht="13">
      <c r="B148"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2024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2024 год</v>
      </c>
    </row>
    <row r="149" spans="2:2" ht="13">
      <c r="B149" s="101" t="str">
        <f ca="1">IFERROR(__xludf.DUMMYFUNCTION("""COMPUTED_VALUE"""),"Численность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за"&amp;"нятости, в субъектах Российской Федерации (не менее 230 тыс. человек к 2024 году)")</f>
        <v>Численность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в субъектах Российской Федерации (не менее 230 тыс. человек к 2024 году)</v>
      </c>
    </row>
    <row r="150" spans="2:2" ht="13">
      <c r="B150" s="101" t="str">
        <f ca="1">IFERROR(__xludf.DUMMYFUNCTION("""COMPUTED_VALUE"""),"Созданы дополнительные места в дошкольных образовательных организациях для детей в возрасте до 3 лет, тыс. мест нарастающим итогом")</f>
        <v>Созданы дополнительные места в дошкольных образовательных организациях для детей в возрасте до 3 лет, тыс. мест нарастающим итогом</v>
      </c>
    </row>
    <row r="151" spans="2:2" ht="13">
      <c r="B151" s="101" t="str">
        <f ca="1">IFERROR(__xludf.DUMMYFUNCTION("""COMPUTED_VALUE"""),"Созданы дополнительные места в субъектах Российской Федерации для детей в возрасте от 1,5 до 3 лет любой направленности в организациях, осуществляющих образовательную деятельность (за исключением государственных и муниципальных), и у индивидуальных предпр"&amp;"инимателей,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f>
        <v>Созданы дополнительные места в субъектах Российской Федерации для детей в возрасте от 1,5 до 3 лет любой направленности в организациях, осуществляющих образовательную деятельность (за исключением государственных и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v>
      </c>
    </row>
    <row r="152" spans="2:2" ht="13">
      <c r="B152" s="101" t="str">
        <f ca="1">IFERROR(__xludf.DUMMYFUNCTION("""COMPUTED_VALUE"""),"Организовано повышение квалификации не менее 1 тыс.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предпринимателе"&amp;"й,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с учетом приоритетности региональных программ субъ"&amp;"ектов Российской Федерации, в том числе входящих в состав Дальневосточного и Северо-Кавказского федеральных округов")</f>
        <v>Организовано повышение квалификации не менее 1 тыс.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с учетом приоритетности региональных программ субъектов Российской Федерации, в том числе входящих в состав Дальневосточного и Северо-Кавказского федеральных округов</v>
      </c>
    </row>
    <row r="153" spans="2:2" ht="13">
      <c r="B153" s="101" t="str">
        <f ca="1">IFERROR(__xludf.DUMMYFUNCTION("""COMPUTED_VALUE"""),"Не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т"&amp;"рудоспособного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2"&amp;"024 году – не менее 70 процентов лиц старше трудоспособного возраста.")</f>
        <v>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2024 году – не менее 70 процентов лиц старше трудоспособного возраста.</v>
      </c>
    </row>
    <row r="154" spans="2:2" ht="13">
      <c r="B154" s="101" t="str">
        <f ca="1">IFERROR(__xludf.DUMMYFUNCTION("""COMPUTED_VALUE"""),"Прирост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объ"&amp;"ект,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п"&amp;"лощадью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86,"&amp;"276 тыс. кв. м, для размещения 2520 граждан.
 В 2024 году - 100%, введено в эксплуатацию 29 объектов, общей площадью 60,192 тыс. кв. м, для размещения 3971 граждан.")</f>
        <v>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86,276 тыс. кв. м, для размещения 2520 граждан.
 В 2024 году - 100%, введено в эксплуатацию 29 объектов, общей площадью 60,192 тыс. кв. м, для размещения 3971 граждан.</v>
      </c>
    </row>
    <row r="155" spans="2:2" ht="13">
      <c r="B155" s="101" t="str">
        <f ca="1">IFERROR(__xludf.DUMMYFUNCTION("""COMPUTED_VALUE"""),"Прошли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году"&amp;"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возраста"&amp;",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возрасте"&amp;" 50-ти лет и старше, а также лиц предпенсионного возраста.")</f>
        <v>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 50-ти лет и старше, а также лиц предпенсионного возраста.</v>
      </c>
    </row>
    <row r="156" spans="2:2" ht="13">
      <c r="B156" s="101" t="str">
        <f ca="1">IFERROR(__xludf.DUMMYFUNCTION("""COMPUTED_VALUE"""),"Численность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т"&amp;"ысяч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также"&amp;"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f>
        <v>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v>
      </c>
    </row>
    <row r="157" spans="2:2" ht="13">
      <c r="B157" s="101" t="str">
        <f ca="1">IFERROR(__xludf.DUMMYFUNCTION("""COMPUTED_VALUE"""),"Обеспечен доступ населения к отечественным пищевым продуктам, способствующим устранению дефицита микро- и макронутриентов, в том числе усилен лабораторный контроль за показателями качества пищевой продукции и соответствия ее принципам здорового питания")</f>
        <v>Обеспечен доступ населения к отечественным пищевым продуктам, способствующим устранению дефицита микро- и макронутриентов, в том числе усилен лабораторный контроль за показателями качества пищевой продукции и соответствия ее принципам здорового питания</v>
      </c>
    </row>
    <row r="158" spans="2:2" ht="13">
      <c r="B158" s="101" t="str">
        <f ca="1">IFERROR(__xludf.DUMMYFUNCTION("""COMPUTED_VALUE"""),"Субъекты Российской Федерации обеспечили внедрение разработанных научно-обоснованных адресных образовательных и просветительских программ по вопросам здорового питания. Увеличен охват граждан адресными образовательными и просветительскими программами по в"&amp;"опросам здорового питания")</f>
        <v>Субъекты Российской Федерации обеспечили внедрение разработанных научно-обоснованных адресных образовательных и просветительских программ по вопросам здорового питания. Увеличен охват граждан адресными образовательными и просветительскими программами по вопросам здорового питания</v>
      </c>
    </row>
    <row r="159" spans="2:2" ht="13">
      <c r="B159" s="101" t="str">
        <f ca="1">IFERROR(__xludf.DUMMYFUNCTION("""COMPUTED_VALUE"""),"Созданы не менее 21 рекламно-информационных материалов по вопросам здорового питания, включая для демонстрации (передачи) по телевидению, радио и в информационно-телекоммуникационной сети ""Интернет""")</f>
        <v>Созданы не менее 21 рекламно-информационных материалов по вопросам здорового питания, включая для демонстрации (передачи) по телевидению, радио и в информационно-телекоммуникационной сети "Интернет"</v>
      </c>
    </row>
    <row r="160" spans="2:2" ht="13">
      <c r="B160" s="101" t="str">
        <f ca="1">IFERROR(__xludf.DUMMYFUNCTION("""COMPUTED_VALUE"""),"Муниципальные образования внедрили муниципальные программы общественного здоровья")</f>
        <v>Муниципальные образования внедрили муниципальные программы общественного здоровья</v>
      </c>
    </row>
    <row r="161" spans="2:2" ht="13">
      <c r="B161" s="101" t="str">
        <f ca="1">IFERROR(__xludf.DUMMYFUNCTION("""COMPUTED_VALUE"""),"Построены,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f>
        <v>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v>
      </c>
    </row>
    <row r="162" spans="2:2" ht="13">
      <c r="B162" s="101" t="str">
        <f ca="1">IFERROR(__xludf.DUMMYFUNCTION("""COMPUTED_VALUE"""),"Размещение автоматических пунктов весогабаритного контроля транспортных средств на автомобильных дорогах федерального значения (накопленным итогом)")</f>
        <v>Размещение автоматических пунктов весогабаритного контроля транспортных средств на автомобильных дорогах федерального значения (накопленным итогом)</v>
      </c>
    </row>
    <row r="163" spans="2:2" ht="13">
      <c r="B163" s="101" t="str">
        <f ca="1">IFERROR(__xludf.DUMMYFUNCTION("""COMPUTED_VALUE"""),"Внедрение на автомобильных дорогах общего пользования интеллектуальных транспортных систем, ориентированных в том числе на обеспечение движения беспилотных транспортных средств (в соответствии с утвержденным перечнем участков автомобильных дорог, накоплен"&amp;"ным итогом)")</f>
        <v>Внедрение на автомобильных дорогах общего пользования интеллектуальных транспортных систем, ориентированных в том числе на обеспечение движения беспилотных транспортных средств (в соответствии с утвержденным перечнем участков автомобильных дорог, накопленным итогом)</v>
      </c>
    </row>
    <row r="164" spans="2:2" ht="13">
      <c r="B164" s="101" t="str">
        <f ca="1">IFERROR(__xludf.DUMMYFUNCTION("""COMPUTED_VALUE"""),"Увеличение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от базового количества 2017 года")</f>
        <v>Увеличение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от базового количества 2017 года</v>
      </c>
    </row>
    <row r="165" spans="2:2" ht="13">
      <c r="B165" s="101" t="str">
        <f ca="1">IFERROR(__xludf.DUMMYFUNCTION("""COMPUTED_VALUE"""),"Внедрение системы контроля за внесением платы при движении по платным автомобильным дорогам ""свободный поток"" на 2 пилотных участках")</f>
        <v>Внедрение системы контроля за внесением платы при движении по платным автомобильным дорогам "свободный поток" на 2 пилотных участках</v>
      </c>
    </row>
    <row r="166" spans="2:2" ht="13">
      <c r="B166" s="101" t="str">
        <f ca="1">IFERROR(__xludf.DUMMYFUNCTION("""COMPUTED_VALUE"""),"Субъектам Российской предоставлено финансирование на реализацию мероприятий федерального проекта «Дорожная сеть» (за счет иных межбюджетных трансфертов из федерального бюджета и в рамках увеличения доли налоговых доходов от акцизов, поступающих в бюджеты "&amp;"субъектов Российской Федерации, без учета капиталоемких мероприятий в городских агломерациях), в объеме, не менее чем, млрд рублей")</f>
        <v>Субъектам Российской предоставлено финансирование на реализацию мероприятий федерального проекта «Дорожная сеть» (за счет иных межбюджетных трансфертов из федерального бюджета и в рамках увеличения доли налоговых доходов от акцизов, поступающих в бюджеты субъектов Российской Федерации, без учета капиталоемких мероприятий в городских агломерациях), в объеме, не менее чем, млрд рублей</v>
      </c>
    </row>
    <row r="167" spans="2:2" ht="13">
      <c r="B167" s="101" t="str">
        <f ca="1">IFERROR(__xludf.DUMMYFUNCTION("""COMPUTED_VALUE"""),"Созданы 14 центров компетенций Национальной технологической инициативы (далее - НТИ), обеспечивающих формирование инновационных решений в области ""сквозных"" технологий")</f>
        <v>Созданы 14 центров компетенций Национальной технологической инициативы (далее - НТИ), обеспечивающих формирование инновационных решений в области "сквозных" технологий</v>
      </c>
    </row>
    <row r="168" spans="2:2" ht="13">
      <c r="B168" s="101" t="str">
        <f ca="1">IFERROR(__xludf.DUMMYFUNCTION("""COMPUTED_VALUE"""),"Создана и функционирует единая сеть, включающая в себя не менее 15 НОЦ мирового уровня, научные центры мирового уровня, не менее 14 центров компетенции НТИ и иные исследовательские центры, участвующие в достижении целей национальных проектов и обеспечиваю"&amp;"щие решение задач СНТР, пространственного развития Российской Федерации, опережающую динамику показателей результативности, в том числе - вклада в достижение целевых показателей национального проекта")</f>
        <v>Создана и функционирует единая сеть, включающая в себя не менее 15 НОЦ мирового уровня, научные центры мирового уровня, не менее 14 центров компетенции НТИ и иные исследовательские центры, участвующие в достижении целей национальных проектов и обеспечивающие решение задач СНТР, пространственного развития Российской Федерации, опережающую динамику показателей результативности, в том числе - вклада в достижение целевых показателей национального проекта</v>
      </c>
    </row>
    <row r="169" spans="2:2" ht="13">
      <c r="B169" s="101" t="str">
        <f ca="1">IFERROR(__xludf.DUMMYFUNCTION("""COMPUTED_VALUE"""),"Создано не менее 4 международных математических центров мирового уровня, выполняющих исследования и разработки по актуальным направлениям развития математики с участием российских и зарубежных ведущих ученых")</f>
        <v>Создано не менее 4 международных математических центров мирового уровня, выполняющих исследования и разработки по актуальным направлениям развития математики с участием российских и зарубежных ведущих ученых</v>
      </c>
    </row>
    <row r="170" spans="2:2" ht="13">
      <c r="B170" s="101" t="str">
        <f ca="1">IFERROR(__xludf.DUMMYFUNCTION("""COMPUTED_VALUE"""),"Создано не менее 3 центров геномных исследований мирового уровня, выполняющих исследования и разработки по актуальным направлениям развития геномных исследований с участием российских и зарубежных ведущих ученых")</f>
        <v>Создано не менее 3 центров геномных исследований мирового уровня, выполняющих исследования и разработки по актуальным направлениям развития геномных исследований с участием российских и зарубежных ведущих ученых</v>
      </c>
    </row>
    <row r="171" spans="2:2" ht="13">
      <c r="B171" s="101" t="str">
        <f ca="1">IFERROR(__xludf.DUMMYFUNCTION("""COMPUTED_VALUE"""),"Количество российских и зарубежных ведущих ученых, работающих в научных центрах мирового уровня совместно с учеными из других научных организаций Российской Федерации по каждому из направлений исследований и разработок научных центров мирового уровня, соз"&amp;"данных в 2020 и 2021 годах, увеличено в 1,3 раза в отчетном году, в том числе:
 в 2023 году - не менее чем 1,4 раза для научных центров мирового уровня, созданных в 2020 году;
 в 2024 году - не менее чем в 1,2 раза для научных центров мирового уровня, соз"&amp;"данных в 2021 году")</f>
        <v>Количество российских и зарубежных ведущих ученых, работающих в научных центрах мирового уровня совместно с учеными из других научных организаций Российской Федерации по каждому из направлений исследований и разработок научных центров мирового уровня, созданных в 2020 и 2021 годах, увеличено в 1,3 раза в отчетном году, в том числе:
 в 2023 году - не менее чем 1,4 раза для научных центров мирового уровня, созданных в 2020 году;
 в 2024 году - не менее чем в 1,2 раза для научных центров мирового уровня, созданных в 2021 году</v>
      </c>
    </row>
    <row r="172" spans="2:2" ht="13">
      <c r="B172" s="101" t="str">
        <f ca="1">IFERROR(__xludf.DUMMYFUNCTION("""COMPUTED_VALUE"""),"Выполнено не менее 238 морских экспедиций на научно-исследовательских судах, в том числе по годам нарастающим итогом:")</f>
        <v>Выполнено не менее 238 морских экспедиций на научно-исследовательских судах, в том числе по годам нарастающим итогом:</v>
      </c>
    </row>
    <row r="173" spans="2:2" ht="13">
      <c r="B173" s="101" t="str">
        <f ca="1">IFERROR(__xludf.DUMMYFUNCTION("""COMPUTED_VALUE"""),"Поддержаны научные проекты по приоритетам научно-технологического развития, 
 не менее 50 процентами из которых руководят молодые перспективные исследователи*, в том числе по годам нарастающим итогом**:
 * В рамках результата осуществляется поддержка прое"&amp;"ктов, реализация которых начата не ранее 2017 года, удовлетворяющих ключевым задачам и условиям данного результата
 ** Учитываются все проекты, реализуемые в рамках настоящего результата, в том числе завершенные ранее отчетного года")</f>
        <v>Поддержаны научные проекты по приоритетам научно-технологического развития, 
 не менее 50 процентами из которых руководят молодые перспективные исследователи*, в том числе по годам нарастающим итогом**:
 * В рамках результата осуществляется поддержка проектов, реализация которых начата не ранее 2017 года, удовлетворяющих ключевым задачам и условиям данного результата
 ** Учитываются все проекты, реализуемые в рамках настоящего результата, в том числе завершенные ранее отчетного года</v>
      </c>
    </row>
    <row r="174" spans="2:2" ht="13">
      <c r="B174" s="101" t="str">
        <f ca="1">IFERROR(__xludf.DUMMYFUNCTION("""COMPUTED_VALUE"""),"Количество прошедших обучение в центрах развития компетенций руководителей научных, научно-технических проектов и лабораторий составляет не менее 4 000 человек, в том числе в по годам нарастающим итогом:")</f>
        <v>Количество прошедших обучение в центрах развития компетенций руководителей научных, научно-технических проектов и лабораторий составляет не менее 4 000 человек, в том числе в по годам нарастающим итогом:</v>
      </c>
    </row>
    <row r="175" spans="2:2" ht="13">
      <c r="B175" s="101" t="str">
        <f ca="1">IFERROR(__xludf.DUMMYFUNCTION("""COMPUTED_VALUE"""),"В целях реализации корпоративных программ конкурентоспособности оказана государственная поддержка российским организациям. Объем поддержанного экспорта к концу 2024 года составил 5 021 млрд. рублей")</f>
        <v>В целях реализации корпоративных программ конкурентоспособности оказана государственная поддержка российским организациям. Объем поддержанного экспорта к концу 2024 года составил 5 021 млрд. рублей</v>
      </c>
    </row>
    <row r="176" spans="2:2" ht="13">
      <c r="B176" s="101" t="str">
        <f ca="1">IFERROR(__xludf.DUMMYFUNCTION("""COMPUTED_VALUE"""),"Реализован первый проект по созданию российской промышленной зоны в Египте")</f>
        <v>Реализован первый проект по созданию российской промышленной зоны в Египте</v>
      </c>
    </row>
    <row r="177" spans="2:2" ht="13">
      <c r="B177" s="101" t="str">
        <f ca="1">IFERROR(__xludf.DUMMYFUNCTION("""COMPUTED_VALUE"""),"Организованы регулярные маршруты отправок сельскохозяйственной и пищевой продукции на экспорт,
 тыс. т объема экспорта нарастающим итогом")</f>
        <v>Организованы регулярные маршруты отправок сельскохозяйственной и пищевой продукции на экспорт,
 тыс. т объема экспорта нарастающим итогом</v>
      </c>
    </row>
    <row r="178" spans="2:2" ht="13">
      <c r="B178" s="101" t="str">
        <f ca="1">IFERROR(__xludf.DUMMYFUNCTION("""COMPUTED_VALUE"""),"Признана регионализация Российской Федерации по болезням птиц, крупного рогатого скота и (или) свиней не менее чем в 5 (пяти) из следующих стран: Китай, Республика Корея, Япония, Турция, Бахрейн, Кувейт, Оман, Катар, Саудовская Аравия, ОАЭ, Иран, Ирак, Ин"&amp;"дия и другие с учетом эпизоотической обстановки в Российской Федерации.")</f>
        <v>Признана регионализация Российской Федерации по болезням птиц, крупного рогатого скота и (или) свиней не менее чем в 5 (пяти) из следующих стран: Китай, Республика Корея, Япония, Турция, Бахрейн, Кувейт, Оман, Катар, Саудовская Аравия, ОАЭ, Иран, Ирак, Индия и другие с учетом эпизоотической обстановки в Российской Федерации.</v>
      </c>
    </row>
    <row r="179" spans="2:2" ht="13">
      <c r="B179" s="101" t="str">
        <f ca="1">IFERROR(__xludf.DUMMYFUNCTION("""COMPUTED_VALUE"""),"Согласованы разрешительные документы, подтверждающие соответствие санитарно-гигиеническим (эпидемиологическим) требованиям по следующим видам продукции: мясо птицы, свинина, говядина, молочная продукция и/или другие товары, подлежащие санитарно-гигиеничес"&amp;"кому (эпидемиологическому) контролю, - не менее чем в 5 (пять) из следующих стран: Китай, Республика Корея, Япония, Турция, Бахрейн, Кувейт, Оман, Катар, Саудовская Аравия, ОАЭ, Иран, Ирак, Индия и другие.")</f>
        <v>Согласованы разрешительные документы, подтверждающие соответствие санитарно-гигиеническим (эпидемиологическим) требованиям по следующим видам продукции: мясо птицы, свинина, говядина, молочная продукция и/или другие товары, подлежащие санитарно-гигиеническому (эпидемиологическому) контролю, - не менее чем в 5 (пять) из следующих стран: Китай, Республика Корея, Япония, Турция, Бахрейн, Кувейт, Оман, Катар, Саудовская Аравия, ОАЭ, Иран, Ирак, Индия и другие.</v>
      </c>
    </row>
    <row r="180" spans="2:2" ht="13">
      <c r="B180" s="101" t="str">
        <f ca="1">IFERROR(__xludf.DUMMYFUNCTION("""COMPUTED_VALUE"""),"Открыты после проведения строительно-монтажных работ 12 пунктов пропуска за счет иных программ и внебюджетных источников финансирования, из них:
 - 2 автомобильных: Торфяновка (СЗФО), Пограничный (ДФО);
 - 10 морских: Находка (ДФО), Ростов-на-Дону (ЮФО), "&amp;"Мурманск (СЗФО), Азов (ЮФО), Калининград (СЗФО), Большой порт Санкт-Петербург (СЗФО), Новороссийск (ЮФО), Усть-Луга (СЗФО), Владивосток (ДФО), Зарубино (ДФО).")</f>
        <v>Открыты после проведения строительно-монтажных работ 12 пунктов пропуска за счет иных программ и внебюджетных источников финансирования, из них:
 - 2 автомобильных: Торфяновка (СЗФО), Пограничный (ДФО);
 - 10 морских: Находка (ДФО), Ростов-на-Дону (ЮФО), Мурманск (СЗФО), Азов (ЮФО), Калининград (СЗФО), Большой порт Санкт-Петербург (СЗФО), Новороссийск (ЮФО), Усть-Луга (СЗФО), Владивосток (ДФО), Зарубино (ДФО).</v>
      </c>
    </row>
    <row r="181" spans="2:2" ht="13">
      <c r="B181" s="101" t="str">
        <f ca="1">IFERROR(__xludf.DUMMYFUNCTION("""COMPUTED_VALUE"""),"Открыты после проведения строительно-монтажных работ 25 пунктов пропуска за счет средств федерального бюджета. предусмотренных Минтрансу России на реализацию федерального проекта, из них: 
 14 автомобильных (Марково (ДФО), Яраг-Казмаляр (2 этап) (СКФО), В"&amp;"ерхний Ларс (СКФО), Бурачки (СЗФО), Кани-Курган (ДФО), Забайкальск (ДФО), Краскино (2 этап) (ДФО), Турий Рог (ДФО), Полтавка (ДФО), Брусничное (СЗФО), Монды (ДФО), Убылинка (СЗФО), Светогорск (СЗФО), Ивангород (СЗФО));
 6 морских (Ванино (ДФО), Шахтерск ("&amp;"ДФО), Петропавловск-Камчатский (ДФО), Холмск (ДФО), Певек (ДФО), Невельск (ДФО));
 2 воздушных (Челябинск (Баландино) (УФО), Саратов (Центральный) (ПФО));
 3 железнодорожных (Нижнеленинское (2 этап, под расширенную номенклатуру грузов) (ДФО), Пограничный "&amp;"(ДФО), Наушки (ДФО));")</f>
        <v>Открыты после проведения строительно-монтажных работ 25 пунктов пропуска за счет средств федерального бюджета. предусмотренных Минтрансу России на реализацию федерального проекта, из них: 
 14 автомобильных (Марково (ДФО), Яраг-Казмаляр (2 этап) (СКФО), Верхний Ларс (СКФО), Бурачки (СЗФО), Кани-Курган (ДФО), Забайкальск (ДФО), Краскино (2 этап) (ДФО), Турий Рог (ДФО), Полтавка (ДФО), Брусничное (СЗФО), Монды (ДФО), Убылинка (СЗФО), Светогорск (СЗФО), Ивангород (СЗФО));
 6 морских (Ванино (ДФО), Шахтерск (ДФО), Петропавловск-Камчатский (ДФО), Холмск (ДФО), Певек (ДФО), Невельск (ДФО));
 2 воздушных (Челябинск (Баландино) (УФО), Саратов (Центральный) (ПФО));
 3 железнодорожных (Нижнеленинское (2 этап, под расширенную номенклатуру грузов) (ДФО), Пограничный (ДФО), Наушки (ДФО));</v>
      </c>
    </row>
    <row r="182" spans="2:2" ht="13">
      <c r="B182" s="101" t="str">
        <f ca="1">IFERROR(__xludf.DUMMYFUNCTION("""COMPUTED_VALUE"""),"Обеспечено увеличение объема экспортной выручки в рамках поддержки высокотехнологичных экспортно-ориентированных проектов в перспективных и приоритетных отраслях экономики")</f>
        <v>Обеспечено увеличение объема экспортной выручки в рамках поддержки высокотехнологичных экспортно-ориентированных проектов в перспективных и приоритетных отраслях экономики</v>
      </c>
    </row>
    <row r="183" spans="2:2" ht="13">
      <c r="B183" s="101" t="str">
        <f ca="1">IFERROR(__xludf.DUMMYFUNCTION("""COMPUTED_VALUE"""),"Введена в промышленную эксплуатацию информационная система ""Одно окно"" на базе цифровой платформы АО ""Российский экспортный центр"", обеспечивающая взаимодействие участников внешнеэкономической деятельности и субъектов международной торговли с органами"&amp;" государственной власти, в том числе с контролирующими органами и иными организациями в электронной форме (в части подтверждения 0% ставки НДС при экспорте товаров, валютного контроля и таможенного декларирования).")</f>
        <v>Введена в промышленную эксплуатацию информационная система "Одно окно" на базе цифровой платформы АО "Российский экспортный центр", обеспечивающая взаимодействие участников внешнеэкономической деятельности и субъектов международной торговли с органами государственной власти, в том числе с контролирующими органами и иными организациями в электронной форме (в части подтверждения 0% ставки НДС при экспорте товаров, валютного контроля и таможенного декларирования).</v>
      </c>
    </row>
    <row r="184" spans="2:2" ht="13">
      <c r="B184" s="101" t="str">
        <f ca="1">IFERROR(__xludf.DUMMYFUNCTION("""COMPUTED_VALUE"""),"Проведена модернизация опорных лабораторий согласно утвержденному Плану по модернизации опорных лабораторий, по результатам которой количество опорных лабораторий, наделенных правом выдавать по результатам исследований (испытаний) протоколы с использовани"&amp;"ем знака ILAC, в 2020 году составит не менее 15 ед., в 2024 г. - не менее 
 25 ед., с участием которых доля исследований российской продукции, проведенных в российских испытательных лабораториях (GLP-лабораториях) в соответствии с методиками, признаваемым"&amp;"и за рубежом, согласно перечню приоритетных стран и видов продукции, составит:
 в 2024 г. - не менее 40% (8%)")</f>
        <v>Проведена модернизация опорных лабораторий согласно утвержденному Плану по модернизации опорных лабораторий, по результатам которой количество опорных лабораторий, наделенных правом выдавать по результатам исследований (испытаний) протоколы с использованием знака ILAC, в 2020 году составит не менее 15 ед., в 2024 г. - не менее 
 25 ед., с участием которых доля исследований российской продукции, проведенных в российских испытательных лабораториях (GLP-лабораториях) в соответствии с методиками, признаваемыми за рубежом, согласно перечню приоритетных стран и видов продукции, составит:
 в 2024 г. - не менее 40% (8%)</v>
      </c>
    </row>
    <row r="185" spans="2:2" ht="13">
      <c r="B185" s="101" t="str">
        <f ca="1">IFERROR(__xludf.DUMMYFUNCTION("""COMPUTED_VALUE"""),"Оказана финансовая поддержка АО «Российский экспортный центр»:
 В срок до 31.12.2019 не менее 300 МСП-экспортерам
 В срок до 31.12.2020 не менее 700 МСП-экспортерам
 В срок до 31.12.2021 не менее 1500 МСП-экспортерам")</f>
        <v>Оказана финансовая поддержка АО «Российский экспортный центр»:
 В срок до 31.12.2019 не менее 300 МСП-экспортерам
 В срок до 31.12.2020 не менее 700 МСП-экспортерам
 В срок до 31.12.2021 не менее 1500 МСП-экспортерам</v>
      </c>
    </row>
    <row r="186" spans="2:2" ht="13">
      <c r="B186" s="101" t="str">
        <f ca="1">IFERROR(__xludf.DUMMYFUNCTION("""COMPUTED_VALUE"""),"Объем кредитных сделок и иных инструментов финансирования, аналогичных кредиту по экономической сути (длящиеся обязательства по состоянию на 01.01.2019), по которым предоставляется субсидия, составит не менее 20 млрд. рублей в 2023 году")</f>
        <v>Объем кредитных сделок и иных инструментов финансирования, аналогичных кредиту по экономической сути (длящиеся обязательства по состоянию на 01.01.2019), по которым предоставляется субсидия, составит не менее 20 млрд. рублей в 2023 году</v>
      </c>
    </row>
    <row r="187" spans="2:2" ht="13">
      <c r="B187" s="101" t="str">
        <f ca="1">IFERROR(__xludf.DUMMYFUNCTION("""COMPUTED_VALUE"""),"Региональный экспортный стандарт 2.0 внедрен не менее чем в 75 субъектах Российской Федерации.")</f>
        <v>Региональный экспортный стандарт 2.0 внедрен не менее чем в 75 субъектах Российской Федерации.</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12"/>
  <sheetViews>
    <sheetView workbookViewId="0"/>
  </sheetViews>
  <sheetFormatPr baseColWidth="10" defaultColWidth="14.5" defaultRowHeight="15.75" customHeight="1"/>
  <cols>
    <col min="1" max="1" width="27.6640625" customWidth="1"/>
  </cols>
  <sheetData>
    <row r="1" spans="1:10" ht="15.75" customHeight="1">
      <c r="A1" s="7" t="s">
        <v>59</v>
      </c>
      <c r="B1" s="7" t="s">
        <v>1057</v>
      </c>
      <c r="C1" s="7" t="s">
        <v>1058</v>
      </c>
      <c r="D1" s="7" t="s">
        <v>1059</v>
      </c>
      <c r="E1" s="7" t="s">
        <v>1061</v>
      </c>
      <c r="F1" s="7" t="s">
        <v>1062</v>
      </c>
      <c r="G1" s="7" t="s">
        <v>1063</v>
      </c>
      <c r="H1" s="7" t="s">
        <v>1065</v>
      </c>
      <c r="I1" s="7" t="s">
        <v>1066</v>
      </c>
      <c r="J1" s="7" t="s">
        <v>1067</v>
      </c>
    </row>
    <row r="2" spans="1:10" ht="15.75" customHeight="1">
      <c r="A2" s="7" t="s">
        <v>928</v>
      </c>
      <c r="B2" s="7">
        <v>33</v>
      </c>
      <c r="C2" s="7">
        <v>26</v>
      </c>
      <c r="D2" s="7">
        <v>7</v>
      </c>
      <c r="E2" s="7">
        <v>0</v>
      </c>
      <c r="F2" s="7">
        <v>26</v>
      </c>
      <c r="G2" s="7">
        <v>7</v>
      </c>
      <c r="H2" s="7">
        <v>33</v>
      </c>
      <c r="I2" s="7">
        <v>0.21212121212121199</v>
      </c>
      <c r="J2" s="7">
        <v>0.78787878787878696</v>
      </c>
    </row>
    <row r="3" spans="1:10" ht="15.75" customHeight="1">
      <c r="A3" s="7" t="s">
        <v>931</v>
      </c>
      <c r="B3" s="7">
        <v>8</v>
      </c>
      <c r="C3" s="7">
        <v>4</v>
      </c>
      <c r="D3" s="7">
        <v>4</v>
      </c>
      <c r="E3" s="7">
        <v>0</v>
      </c>
      <c r="F3" s="7">
        <v>0</v>
      </c>
      <c r="G3" s="7">
        <v>8</v>
      </c>
      <c r="H3" s="7">
        <v>8</v>
      </c>
      <c r="I3" s="7">
        <v>0</v>
      </c>
      <c r="J3" s="7">
        <v>0.5</v>
      </c>
    </row>
    <row r="4" spans="1:10" ht="15.75" customHeight="1">
      <c r="A4" s="7" t="s">
        <v>938</v>
      </c>
      <c r="B4" s="7">
        <v>36</v>
      </c>
      <c r="C4" s="7">
        <v>6</v>
      </c>
      <c r="D4" s="7">
        <v>30</v>
      </c>
      <c r="E4" s="7">
        <v>0</v>
      </c>
      <c r="F4" s="7">
        <v>30</v>
      </c>
      <c r="G4" s="7">
        <v>0</v>
      </c>
      <c r="H4" s="7">
        <v>36</v>
      </c>
      <c r="I4" s="7">
        <v>0.16666666666666599</v>
      </c>
      <c r="J4" s="7">
        <v>0.16666666666666599</v>
      </c>
    </row>
    <row r="5" spans="1:10" ht="15.75" customHeight="1">
      <c r="A5" s="7" t="s">
        <v>937</v>
      </c>
      <c r="B5" s="7">
        <v>18</v>
      </c>
      <c r="C5" s="7">
        <v>1</v>
      </c>
      <c r="D5" s="7">
        <v>17</v>
      </c>
      <c r="E5" s="7">
        <v>1</v>
      </c>
      <c r="F5" s="7">
        <v>0</v>
      </c>
      <c r="G5" s="7">
        <v>16</v>
      </c>
      <c r="H5" s="7">
        <v>18</v>
      </c>
      <c r="I5" s="7">
        <v>0</v>
      </c>
      <c r="J5" s="7">
        <v>5.5555555555555497E-2</v>
      </c>
    </row>
    <row r="6" spans="1:10" ht="15.75" customHeight="1">
      <c r="A6" s="7" t="s">
        <v>953</v>
      </c>
      <c r="B6" s="7">
        <v>30</v>
      </c>
      <c r="C6" s="7">
        <v>1</v>
      </c>
      <c r="D6" s="7">
        <v>29</v>
      </c>
      <c r="E6" s="7">
        <v>1</v>
      </c>
      <c r="F6" s="7">
        <v>2</v>
      </c>
      <c r="G6" s="7">
        <v>0</v>
      </c>
      <c r="H6" s="7">
        <v>30</v>
      </c>
      <c r="I6" s="7">
        <v>0.93333333333333302</v>
      </c>
      <c r="J6" s="7">
        <v>3.3333333333333298E-2</v>
      </c>
    </row>
    <row r="7" spans="1:10" ht="15.75" customHeight="1">
      <c r="A7" s="7" t="s">
        <v>926</v>
      </c>
      <c r="B7" s="7">
        <v>1</v>
      </c>
      <c r="C7" s="7">
        <v>0</v>
      </c>
      <c r="D7" s="7">
        <v>1</v>
      </c>
      <c r="E7" s="7">
        <v>0</v>
      </c>
      <c r="F7" s="7">
        <v>0</v>
      </c>
      <c r="G7" s="7">
        <v>1</v>
      </c>
      <c r="H7" s="7">
        <v>1</v>
      </c>
      <c r="I7" s="7">
        <v>0</v>
      </c>
      <c r="J7" s="7">
        <v>0</v>
      </c>
    </row>
    <row r="8" spans="1:10" ht="15.75" customHeight="1">
      <c r="A8" s="7" t="s">
        <v>927</v>
      </c>
      <c r="B8" s="7">
        <v>1</v>
      </c>
      <c r="C8" s="7">
        <v>0</v>
      </c>
      <c r="D8" s="7">
        <v>1</v>
      </c>
      <c r="E8" s="7">
        <v>0</v>
      </c>
      <c r="F8" s="7">
        <v>1</v>
      </c>
      <c r="G8" s="7">
        <v>0</v>
      </c>
      <c r="H8" s="7">
        <v>1</v>
      </c>
      <c r="I8" s="7">
        <v>0</v>
      </c>
      <c r="J8" s="7">
        <v>0</v>
      </c>
    </row>
    <row r="9" spans="1:10" ht="15.75" customHeight="1">
      <c r="A9" s="7" t="s">
        <v>951</v>
      </c>
      <c r="B9" s="7">
        <v>17</v>
      </c>
      <c r="C9" s="7">
        <v>0</v>
      </c>
      <c r="D9" s="7">
        <v>17</v>
      </c>
      <c r="E9" s="7">
        <v>0</v>
      </c>
      <c r="F9" s="7">
        <v>0</v>
      </c>
      <c r="G9" s="7">
        <v>0</v>
      </c>
      <c r="H9" s="7">
        <v>17</v>
      </c>
      <c r="I9" s="7">
        <v>0</v>
      </c>
      <c r="J9" s="7">
        <v>0</v>
      </c>
    </row>
    <row r="10" spans="1:10" ht="15.75" customHeight="1">
      <c r="A10" s="7" t="s">
        <v>958</v>
      </c>
      <c r="B10" s="7">
        <v>6</v>
      </c>
      <c r="C10" s="7">
        <v>0</v>
      </c>
      <c r="D10" s="7">
        <v>6</v>
      </c>
      <c r="E10" s="7">
        <v>0</v>
      </c>
      <c r="F10" s="7">
        <v>0</v>
      </c>
      <c r="G10" s="7">
        <v>0</v>
      </c>
      <c r="H10" s="7">
        <v>6</v>
      </c>
      <c r="I10" s="7">
        <v>0</v>
      </c>
      <c r="J10" s="7">
        <v>0</v>
      </c>
    </row>
    <row r="11" spans="1:10" ht="15.75" customHeight="1">
      <c r="A11" s="7" t="s">
        <v>972</v>
      </c>
      <c r="B11" s="7">
        <v>3</v>
      </c>
      <c r="C11" s="7">
        <v>0</v>
      </c>
      <c r="D11" s="7">
        <v>3</v>
      </c>
      <c r="E11" s="7">
        <v>0</v>
      </c>
      <c r="F11" s="7">
        <v>0</v>
      </c>
      <c r="G11" s="7">
        <v>0</v>
      </c>
      <c r="H11" s="7">
        <v>3</v>
      </c>
      <c r="I11" s="7">
        <v>0</v>
      </c>
      <c r="J11" s="7">
        <v>0</v>
      </c>
    </row>
    <row r="12" spans="1:10" ht="15.75" customHeight="1">
      <c r="A12" s="7" t="s">
        <v>1081</v>
      </c>
      <c r="B12" s="7">
        <v>153</v>
      </c>
      <c r="C12" s="7">
        <v>38</v>
      </c>
      <c r="D12" s="7">
        <v>115</v>
      </c>
      <c r="E12" s="7">
        <v>2</v>
      </c>
      <c r="F12" s="7">
        <v>59</v>
      </c>
      <c r="G12" s="7">
        <v>32</v>
      </c>
      <c r="H12" s="7">
        <v>153</v>
      </c>
      <c r="I12" s="7">
        <v>1.31212121212121</v>
      </c>
      <c r="J12" s="7">
        <v>0.24836601307189499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B1000"/>
  <sheetViews>
    <sheetView workbookViewId="0"/>
  </sheetViews>
  <sheetFormatPr baseColWidth="10" defaultColWidth="14.5" defaultRowHeight="15.75" customHeight="1"/>
  <cols>
    <col min="1" max="1" width="77" customWidth="1"/>
  </cols>
  <sheetData>
    <row r="1" spans="1:2" ht="15.75" customHeight="1">
      <c r="A1" s="7" t="s">
        <v>2178</v>
      </c>
      <c r="B1" s="7" t="s">
        <v>75</v>
      </c>
    </row>
    <row r="2" spans="1:2" ht="15.75" customHeight="1">
      <c r="A2" s="7" t="s">
        <v>51</v>
      </c>
      <c r="B2" s="7">
        <v>304</v>
      </c>
    </row>
    <row r="3" spans="1:2" ht="15.75" customHeight="1">
      <c r="A3" s="7" t="s">
        <v>55</v>
      </c>
      <c r="B3" s="7">
        <v>87</v>
      </c>
    </row>
    <row r="4" spans="1:2" ht="15.75" customHeight="1">
      <c r="A4" s="7" t="s">
        <v>5</v>
      </c>
      <c r="B4" s="7">
        <v>55</v>
      </c>
    </row>
    <row r="5" spans="1:2" ht="15.75" customHeight="1">
      <c r="A5" s="7" t="s">
        <v>57</v>
      </c>
      <c r="B5" s="7">
        <v>52</v>
      </c>
    </row>
    <row r="6" spans="1:2" ht="15.75" customHeight="1">
      <c r="A6" s="7" t="s">
        <v>67</v>
      </c>
      <c r="B6" s="7">
        <v>42</v>
      </c>
    </row>
    <row r="7" spans="1:2" ht="15.75" customHeight="1">
      <c r="A7" s="7" t="s">
        <v>24</v>
      </c>
      <c r="B7" s="7">
        <v>21</v>
      </c>
    </row>
    <row r="8" spans="1:2" ht="15.75" customHeight="1">
      <c r="A8" s="7" t="s">
        <v>18</v>
      </c>
      <c r="B8" s="7">
        <v>20</v>
      </c>
    </row>
    <row r="9" spans="1:2" ht="15.75" customHeight="1">
      <c r="A9" s="7" t="s">
        <v>20</v>
      </c>
      <c r="B9" s="7">
        <v>17</v>
      </c>
    </row>
    <row r="10" spans="1:2" ht="15.75" customHeight="1">
      <c r="A10" s="7" t="s">
        <v>21</v>
      </c>
      <c r="B10" s="7">
        <v>16</v>
      </c>
    </row>
    <row r="11" spans="1:2" ht="15.75" customHeight="1">
      <c r="A11" s="7" t="s">
        <v>65</v>
      </c>
      <c r="B11" s="7">
        <v>10</v>
      </c>
    </row>
    <row r="12" spans="1:2" ht="15.75" customHeight="1">
      <c r="A12" s="7" t="s">
        <v>69</v>
      </c>
      <c r="B12" s="7">
        <v>9</v>
      </c>
    </row>
    <row r="13" spans="1:2" ht="15.75" customHeight="1">
      <c r="A13" s="7" t="s">
        <v>63</v>
      </c>
      <c r="B13" s="7">
        <v>8</v>
      </c>
    </row>
    <row r="14" spans="1:2" ht="15.75" customHeight="1">
      <c r="A14" s="7" t="s">
        <v>23</v>
      </c>
      <c r="B14" s="7">
        <v>4</v>
      </c>
    </row>
    <row r="15" spans="1:2" ht="15.75" customHeight="1">
      <c r="A15" s="7" t="s">
        <v>46</v>
      </c>
      <c r="B15" s="7">
        <v>4</v>
      </c>
    </row>
    <row r="16" spans="1:2" ht="15.75" customHeight="1">
      <c r="A16" s="7" t="s">
        <v>60</v>
      </c>
      <c r="B16" s="7">
        <v>1</v>
      </c>
    </row>
    <row r="17" spans="1:2" ht="15.75" customHeight="1">
      <c r="A17" s="7" t="s">
        <v>2179</v>
      </c>
      <c r="B17" s="7">
        <v>1207</v>
      </c>
    </row>
    <row r="18" spans="1:2" ht="15.75" customHeight="1">
      <c r="A18" s="101"/>
    </row>
    <row r="19" spans="1:2" ht="15.75" customHeight="1">
      <c r="A19" s="101"/>
    </row>
    <row r="20" spans="1:2" ht="15.75" customHeight="1">
      <c r="A20" s="101"/>
    </row>
    <row r="21" spans="1:2" ht="15.75" customHeight="1">
      <c r="A21" s="101"/>
    </row>
    <row r="22" spans="1:2" ht="15.75" customHeight="1">
      <c r="A22" s="101"/>
    </row>
    <row r="23" spans="1:2" ht="13">
      <c r="A23" s="101"/>
    </row>
    <row r="24" spans="1:2" ht="13">
      <c r="A24" s="101"/>
    </row>
    <row r="25" spans="1:2" ht="13">
      <c r="A25" s="101"/>
    </row>
    <row r="26" spans="1:2" ht="13">
      <c r="A26" s="101"/>
    </row>
    <row r="27" spans="1:2" ht="13">
      <c r="A27" s="101"/>
    </row>
    <row r="28" spans="1:2" ht="13">
      <c r="A28" s="101"/>
    </row>
    <row r="29" spans="1:2" ht="13">
      <c r="A29" s="101"/>
    </row>
    <row r="30" spans="1:2" ht="13">
      <c r="A30" s="101"/>
    </row>
    <row r="31" spans="1:2" ht="13">
      <c r="A31" s="101"/>
    </row>
    <row r="32" spans="1:2" ht="13">
      <c r="A32" s="101"/>
    </row>
    <row r="33" spans="1:1" ht="13">
      <c r="A33" s="101"/>
    </row>
    <row r="34" spans="1:1" ht="13">
      <c r="A34" s="101"/>
    </row>
    <row r="35" spans="1:1" ht="13">
      <c r="A35" s="101"/>
    </row>
    <row r="36" spans="1:1" ht="13">
      <c r="A36" s="101"/>
    </row>
    <row r="37" spans="1:1" ht="13">
      <c r="A37" s="101"/>
    </row>
    <row r="38" spans="1:1" ht="13">
      <c r="A38" s="101"/>
    </row>
    <row r="39" spans="1:1" ht="13">
      <c r="A39" s="101"/>
    </row>
    <row r="40" spans="1:1" ht="13">
      <c r="A40" s="101"/>
    </row>
    <row r="41" spans="1:1" ht="13">
      <c r="A41" s="101"/>
    </row>
    <row r="42" spans="1:1" ht="13">
      <c r="A42" s="101"/>
    </row>
    <row r="43" spans="1:1" ht="13">
      <c r="A43" s="101"/>
    </row>
    <row r="44" spans="1:1" ht="13">
      <c r="A44" s="101"/>
    </row>
    <row r="45" spans="1:1" ht="13">
      <c r="A45" s="101"/>
    </row>
    <row r="46" spans="1:1" ht="13">
      <c r="A46" s="101"/>
    </row>
    <row r="47" spans="1:1" ht="13">
      <c r="A47" s="101"/>
    </row>
    <row r="48" spans="1:1" ht="13">
      <c r="A48" s="101"/>
    </row>
    <row r="49" spans="1:1" ht="13">
      <c r="A49" s="101"/>
    </row>
    <row r="50" spans="1:1" ht="13">
      <c r="A50" s="101"/>
    </row>
    <row r="51" spans="1:1" ht="13">
      <c r="A51" s="101"/>
    </row>
    <row r="52" spans="1:1" ht="13">
      <c r="A52" s="101"/>
    </row>
    <row r="53" spans="1:1" ht="13">
      <c r="A53" s="101"/>
    </row>
    <row r="54" spans="1:1" ht="13">
      <c r="A54" s="101"/>
    </row>
    <row r="55" spans="1:1" ht="13">
      <c r="A55" s="101"/>
    </row>
    <row r="56" spans="1:1" ht="13">
      <c r="A56" s="101"/>
    </row>
    <row r="57" spans="1:1" ht="13">
      <c r="A57" s="101"/>
    </row>
    <row r="58" spans="1:1" ht="13">
      <c r="A58" s="101"/>
    </row>
    <row r="59" spans="1:1" ht="13">
      <c r="A59" s="101"/>
    </row>
    <row r="60" spans="1:1" ht="13">
      <c r="A60" s="101"/>
    </row>
    <row r="61" spans="1:1" ht="13">
      <c r="A61" s="101"/>
    </row>
    <row r="62" spans="1:1" ht="13">
      <c r="A62" s="101"/>
    </row>
    <row r="63" spans="1:1" ht="13">
      <c r="A63" s="101"/>
    </row>
    <row r="64" spans="1:1" ht="13">
      <c r="A64" s="101"/>
    </row>
    <row r="65" spans="1:1" ht="13">
      <c r="A65" s="101"/>
    </row>
    <row r="66" spans="1:1" ht="13">
      <c r="A66" s="101"/>
    </row>
    <row r="67" spans="1:1" ht="13">
      <c r="A67" s="101"/>
    </row>
    <row r="68" spans="1:1" ht="13">
      <c r="A68" s="101"/>
    </row>
    <row r="69" spans="1:1" ht="13">
      <c r="A69" s="101"/>
    </row>
    <row r="70" spans="1:1" ht="13">
      <c r="A70" s="101"/>
    </row>
    <row r="71" spans="1:1" ht="13">
      <c r="A71" s="101"/>
    </row>
    <row r="72" spans="1:1" ht="13">
      <c r="A72" s="101"/>
    </row>
    <row r="73" spans="1:1" ht="13">
      <c r="A73" s="101"/>
    </row>
    <row r="74" spans="1:1" ht="13">
      <c r="A74" s="101"/>
    </row>
    <row r="75" spans="1:1" ht="13">
      <c r="A75" s="101"/>
    </row>
    <row r="76" spans="1:1" ht="13">
      <c r="A76" s="101"/>
    </row>
    <row r="77" spans="1:1" ht="13">
      <c r="A77" s="101"/>
    </row>
    <row r="78" spans="1:1" ht="13">
      <c r="A78" s="101"/>
    </row>
    <row r="79" spans="1:1" ht="13">
      <c r="A79" s="101"/>
    </row>
    <row r="80" spans="1:1" ht="13">
      <c r="A80" s="101"/>
    </row>
    <row r="81" spans="1:1" ht="13">
      <c r="A81" s="101"/>
    </row>
    <row r="82" spans="1:1" ht="13">
      <c r="A82" s="101"/>
    </row>
    <row r="83" spans="1:1" ht="13">
      <c r="A83" s="101"/>
    </row>
    <row r="84" spans="1:1" ht="13">
      <c r="A84" s="101"/>
    </row>
    <row r="85" spans="1:1" ht="13">
      <c r="A85" s="101"/>
    </row>
    <row r="86" spans="1:1" ht="13">
      <c r="A86" s="101"/>
    </row>
    <row r="87" spans="1:1" ht="13">
      <c r="A87" s="101"/>
    </row>
    <row r="88" spans="1:1" ht="13">
      <c r="A88" s="101"/>
    </row>
    <row r="89" spans="1:1" ht="13">
      <c r="A89" s="101"/>
    </row>
    <row r="90" spans="1:1" ht="13">
      <c r="A90" s="101"/>
    </row>
    <row r="91" spans="1:1" ht="13">
      <c r="A91" s="101"/>
    </row>
    <row r="92" spans="1:1" ht="13">
      <c r="A92" s="101"/>
    </row>
    <row r="93" spans="1:1" ht="13">
      <c r="A93" s="101"/>
    </row>
    <row r="94" spans="1:1" ht="13">
      <c r="A94" s="101"/>
    </row>
    <row r="95" spans="1:1" ht="13">
      <c r="A95" s="101"/>
    </row>
    <row r="96" spans="1:1" ht="13">
      <c r="A96" s="101"/>
    </row>
    <row r="97" spans="1:1" ht="13">
      <c r="A97" s="101"/>
    </row>
    <row r="98" spans="1:1" ht="13">
      <c r="A98" s="101"/>
    </row>
    <row r="99" spans="1:1" ht="13">
      <c r="A99" s="101"/>
    </row>
    <row r="100" spans="1:1" ht="13">
      <c r="A100" s="101"/>
    </row>
    <row r="101" spans="1:1" ht="13">
      <c r="A101" s="101"/>
    </row>
    <row r="102" spans="1:1" ht="13">
      <c r="A102" s="101"/>
    </row>
    <row r="103" spans="1:1" ht="13">
      <c r="A103" s="101"/>
    </row>
    <row r="104" spans="1:1" ht="13">
      <c r="A104" s="101"/>
    </row>
    <row r="105" spans="1:1" ht="13">
      <c r="A105" s="101"/>
    </row>
    <row r="106" spans="1:1" ht="13">
      <c r="A106" s="101"/>
    </row>
    <row r="107" spans="1:1" ht="13">
      <c r="A107" s="101"/>
    </row>
    <row r="108" spans="1:1" ht="13">
      <c r="A108" s="101"/>
    </row>
    <row r="109" spans="1:1" ht="13">
      <c r="A109" s="101"/>
    </row>
    <row r="110" spans="1:1" ht="13">
      <c r="A110" s="101"/>
    </row>
    <row r="111" spans="1:1" ht="13">
      <c r="A111" s="101"/>
    </row>
    <row r="112" spans="1:1" ht="13">
      <c r="A112" s="101"/>
    </row>
    <row r="113" spans="1:1" ht="13">
      <c r="A113" s="101"/>
    </row>
    <row r="114" spans="1:1" ht="13">
      <c r="A114" s="101"/>
    </row>
    <row r="115" spans="1:1" ht="13">
      <c r="A115" s="101"/>
    </row>
    <row r="116" spans="1:1" ht="13">
      <c r="A116" s="101"/>
    </row>
    <row r="117" spans="1:1" ht="13">
      <c r="A117" s="101"/>
    </row>
    <row r="118" spans="1:1" ht="13">
      <c r="A118" s="101"/>
    </row>
    <row r="119" spans="1:1" ht="13">
      <c r="A119" s="101"/>
    </row>
    <row r="120" spans="1:1" ht="13">
      <c r="A120" s="101"/>
    </row>
    <row r="121" spans="1:1" ht="13">
      <c r="A121" s="101"/>
    </row>
    <row r="122" spans="1:1" ht="13">
      <c r="A122" s="101"/>
    </row>
    <row r="123" spans="1:1" ht="13">
      <c r="A123" s="101"/>
    </row>
    <row r="124" spans="1:1" ht="13">
      <c r="A124" s="101"/>
    </row>
    <row r="125" spans="1:1" ht="13">
      <c r="A125" s="101"/>
    </row>
    <row r="126" spans="1:1" ht="13">
      <c r="A126" s="101"/>
    </row>
    <row r="127" spans="1:1" ht="13">
      <c r="A127" s="101"/>
    </row>
    <row r="128" spans="1:1" ht="13">
      <c r="A128" s="101"/>
    </row>
    <row r="129" spans="1:1" ht="13">
      <c r="A129" s="101"/>
    </row>
    <row r="130" spans="1:1" ht="13">
      <c r="A130" s="101"/>
    </row>
    <row r="131" spans="1:1" ht="13">
      <c r="A131" s="101"/>
    </row>
    <row r="132" spans="1:1" ht="13">
      <c r="A132" s="101"/>
    </row>
    <row r="133" spans="1:1" ht="13">
      <c r="A133" s="101"/>
    </row>
    <row r="134" spans="1:1" ht="13">
      <c r="A134" s="101"/>
    </row>
    <row r="135" spans="1:1" ht="13">
      <c r="A135" s="101"/>
    </row>
    <row r="136" spans="1:1" ht="13">
      <c r="A136" s="101"/>
    </row>
    <row r="137" spans="1:1" ht="13">
      <c r="A137" s="101"/>
    </row>
    <row r="138" spans="1:1" ht="13">
      <c r="A138" s="101"/>
    </row>
    <row r="139" spans="1:1" ht="13">
      <c r="A139" s="101"/>
    </row>
    <row r="140" spans="1:1" ht="13">
      <c r="A140" s="101"/>
    </row>
    <row r="141" spans="1:1" ht="13">
      <c r="A141" s="101"/>
    </row>
    <row r="142" spans="1:1" ht="13">
      <c r="A142" s="101"/>
    </row>
    <row r="143" spans="1:1" ht="13">
      <c r="A143" s="101"/>
    </row>
    <row r="144" spans="1:1" ht="13">
      <c r="A144" s="101"/>
    </row>
    <row r="145" spans="1:1" ht="13">
      <c r="A145" s="101"/>
    </row>
    <row r="146" spans="1:1" ht="13">
      <c r="A146" s="101"/>
    </row>
    <row r="147" spans="1:1" ht="13">
      <c r="A147" s="101"/>
    </row>
    <row r="148" spans="1:1" ht="13">
      <c r="A148" s="101"/>
    </row>
    <row r="149" spans="1:1" ht="13">
      <c r="A149" s="101"/>
    </row>
    <row r="150" spans="1:1" ht="13">
      <c r="A150" s="101"/>
    </row>
    <row r="151" spans="1:1" ht="13">
      <c r="A151" s="101"/>
    </row>
    <row r="152" spans="1:1" ht="13">
      <c r="A152" s="101"/>
    </row>
    <row r="153" spans="1:1" ht="13">
      <c r="A153" s="101"/>
    </row>
    <row r="154" spans="1:1" ht="13">
      <c r="A154" s="101"/>
    </row>
    <row r="155" spans="1:1" ht="13">
      <c r="A155" s="101"/>
    </row>
    <row r="156" spans="1:1" ht="13">
      <c r="A156" s="101"/>
    </row>
    <row r="157" spans="1:1" ht="13">
      <c r="A157" s="101"/>
    </row>
    <row r="158" spans="1:1" ht="13">
      <c r="A158" s="101"/>
    </row>
    <row r="159" spans="1:1" ht="13">
      <c r="A159" s="101"/>
    </row>
    <row r="160" spans="1:1" ht="13">
      <c r="A160" s="101"/>
    </row>
    <row r="161" spans="1:1" ht="13">
      <c r="A161" s="101"/>
    </row>
    <row r="162" spans="1:1" ht="13">
      <c r="A162" s="101"/>
    </row>
    <row r="163" spans="1:1" ht="13">
      <c r="A163" s="101"/>
    </row>
    <row r="164" spans="1:1" ht="13">
      <c r="A164" s="101"/>
    </row>
    <row r="165" spans="1:1" ht="13">
      <c r="A165" s="101"/>
    </row>
    <row r="166" spans="1:1" ht="13">
      <c r="A166" s="101"/>
    </row>
    <row r="167" spans="1:1" ht="13">
      <c r="A167" s="101"/>
    </row>
    <row r="168" spans="1:1" ht="13">
      <c r="A168" s="101"/>
    </row>
    <row r="169" spans="1:1" ht="13">
      <c r="A169" s="101"/>
    </row>
    <row r="170" spans="1:1" ht="13">
      <c r="A170" s="101"/>
    </row>
    <row r="171" spans="1:1" ht="13">
      <c r="A171" s="101"/>
    </row>
    <row r="172" spans="1:1" ht="13">
      <c r="A172" s="101"/>
    </row>
    <row r="173" spans="1:1" ht="13">
      <c r="A173" s="101"/>
    </row>
    <row r="174" spans="1:1" ht="13">
      <c r="A174" s="101"/>
    </row>
    <row r="175" spans="1:1" ht="13">
      <c r="A175" s="101"/>
    </row>
    <row r="176" spans="1:1" ht="13">
      <c r="A176" s="101"/>
    </row>
    <row r="177" spans="1:1" ht="13">
      <c r="A177" s="101"/>
    </row>
    <row r="178" spans="1:1" ht="13">
      <c r="A178" s="101"/>
    </row>
    <row r="179" spans="1:1" ht="13">
      <c r="A179" s="101"/>
    </row>
    <row r="180" spans="1:1" ht="13">
      <c r="A180" s="101"/>
    </row>
    <row r="181" spans="1:1" ht="13">
      <c r="A181" s="101"/>
    </row>
    <row r="182" spans="1:1" ht="13">
      <c r="A182" s="101"/>
    </row>
    <row r="183" spans="1:1" ht="13">
      <c r="A183" s="101"/>
    </row>
    <row r="184" spans="1:1" ht="13">
      <c r="A184" s="101"/>
    </row>
    <row r="185" spans="1:1" ht="13">
      <c r="A185" s="101"/>
    </row>
    <row r="186" spans="1:1" ht="13">
      <c r="A186" s="101"/>
    </row>
    <row r="187" spans="1:1" ht="13">
      <c r="A187" s="101"/>
    </row>
    <row r="188" spans="1:1" ht="13">
      <c r="A188" s="101"/>
    </row>
    <row r="189" spans="1:1" ht="13">
      <c r="A189" s="101"/>
    </row>
    <row r="190" spans="1:1" ht="13">
      <c r="A190" s="101"/>
    </row>
    <row r="191" spans="1:1" ht="13">
      <c r="A191" s="101"/>
    </row>
    <row r="192" spans="1:1" ht="13">
      <c r="A192" s="101"/>
    </row>
    <row r="193" spans="1:1" ht="13">
      <c r="A193" s="101"/>
    </row>
    <row r="194" spans="1:1" ht="13">
      <c r="A194" s="101"/>
    </row>
    <row r="195" spans="1:1" ht="13">
      <c r="A195" s="101"/>
    </row>
    <row r="196" spans="1:1" ht="13">
      <c r="A196" s="101"/>
    </row>
    <row r="197" spans="1:1" ht="13">
      <c r="A197" s="101"/>
    </row>
    <row r="198" spans="1:1" ht="13">
      <c r="A198" s="101"/>
    </row>
    <row r="199" spans="1:1" ht="13">
      <c r="A199" s="101"/>
    </row>
    <row r="200" spans="1:1" ht="13">
      <c r="A200" s="101"/>
    </row>
    <row r="201" spans="1:1" ht="13">
      <c r="A201" s="101"/>
    </row>
    <row r="202" spans="1:1" ht="13">
      <c r="A202" s="101"/>
    </row>
    <row r="203" spans="1:1" ht="13">
      <c r="A203" s="101"/>
    </row>
    <row r="204" spans="1:1" ht="13">
      <c r="A204" s="101"/>
    </row>
    <row r="205" spans="1:1" ht="13">
      <c r="A205" s="101"/>
    </row>
    <row r="206" spans="1:1" ht="13">
      <c r="A206" s="101"/>
    </row>
    <row r="207" spans="1:1" ht="13">
      <c r="A207" s="101"/>
    </row>
    <row r="208" spans="1:1" ht="13">
      <c r="A208" s="101"/>
    </row>
    <row r="209" spans="1:1" ht="13">
      <c r="A209" s="101"/>
    </row>
    <row r="210" spans="1:1" ht="13">
      <c r="A210" s="101"/>
    </row>
    <row r="211" spans="1:1" ht="13">
      <c r="A211" s="101"/>
    </row>
    <row r="212" spans="1:1" ht="13">
      <c r="A212" s="101"/>
    </row>
    <row r="213" spans="1:1" ht="13">
      <c r="A213" s="101"/>
    </row>
    <row r="214" spans="1:1" ht="13">
      <c r="A214" s="101"/>
    </row>
    <row r="215" spans="1:1" ht="13">
      <c r="A215" s="101"/>
    </row>
    <row r="216" spans="1:1" ht="13">
      <c r="A216" s="101"/>
    </row>
    <row r="217" spans="1:1" ht="13">
      <c r="A217" s="101"/>
    </row>
    <row r="218" spans="1:1" ht="13">
      <c r="A218" s="101"/>
    </row>
    <row r="219" spans="1:1" ht="13">
      <c r="A219" s="101"/>
    </row>
    <row r="220" spans="1:1" ht="13">
      <c r="A220" s="101"/>
    </row>
    <row r="221" spans="1:1" ht="13">
      <c r="A221" s="101"/>
    </row>
    <row r="222" spans="1:1" ht="13">
      <c r="A222" s="101"/>
    </row>
    <row r="223" spans="1:1" ht="13">
      <c r="A223" s="101"/>
    </row>
    <row r="224" spans="1:1" ht="13">
      <c r="A224" s="101"/>
    </row>
    <row r="225" spans="1:1" ht="13">
      <c r="A225" s="101"/>
    </row>
    <row r="226" spans="1:1" ht="13">
      <c r="A226" s="101"/>
    </row>
    <row r="227" spans="1:1" ht="13">
      <c r="A227" s="101"/>
    </row>
    <row r="228" spans="1:1" ht="13">
      <c r="A228" s="101"/>
    </row>
    <row r="229" spans="1:1" ht="13">
      <c r="A229" s="101"/>
    </row>
    <row r="230" spans="1:1" ht="13">
      <c r="A230" s="101"/>
    </row>
    <row r="231" spans="1:1" ht="13">
      <c r="A231" s="101"/>
    </row>
    <row r="232" spans="1:1" ht="13">
      <c r="A232" s="101"/>
    </row>
    <row r="233" spans="1:1" ht="13">
      <c r="A233" s="101"/>
    </row>
    <row r="234" spans="1:1" ht="13">
      <c r="A234" s="101"/>
    </row>
    <row r="235" spans="1:1" ht="13">
      <c r="A235" s="101"/>
    </row>
    <row r="236" spans="1:1" ht="13">
      <c r="A236" s="101"/>
    </row>
    <row r="237" spans="1:1" ht="13">
      <c r="A237" s="101"/>
    </row>
    <row r="238" spans="1:1" ht="13">
      <c r="A238" s="101"/>
    </row>
    <row r="239" spans="1:1" ht="13">
      <c r="A239" s="101"/>
    </row>
    <row r="240" spans="1:1" ht="13">
      <c r="A240" s="101"/>
    </row>
    <row r="241" spans="1:1" ht="13">
      <c r="A241" s="101"/>
    </row>
    <row r="242" spans="1:1" ht="13">
      <c r="A242" s="101"/>
    </row>
    <row r="243" spans="1:1" ht="13">
      <c r="A243" s="101"/>
    </row>
    <row r="244" spans="1:1" ht="13">
      <c r="A244" s="101"/>
    </row>
    <row r="245" spans="1:1" ht="13">
      <c r="A245" s="101"/>
    </row>
    <row r="246" spans="1:1" ht="13">
      <c r="A246" s="101"/>
    </row>
    <row r="247" spans="1:1" ht="13">
      <c r="A247" s="101"/>
    </row>
    <row r="248" spans="1:1" ht="13">
      <c r="A248" s="101"/>
    </row>
    <row r="249" spans="1:1" ht="13">
      <c r="A249" s="101"/>
    </row>
    <row r="250" spans="1:1" ht="13">
      <c r="A250" s="101"/>
    </row>
    <row r="251" spans="1:1" ht="13">
      <c r="A251" s="101"/>
    </row>
    <row r="252" spans="1:1" ht="13">
      <c r="A252" s="101"/>
    </row>
    <row r="253" spans="1:1" ht="13">
      <c r="A253" s="101"/>
    </row>
    <row r="254" spans="1:1" ht="13">
      <c r="A254" s="101"/>
    </row>
    <row r="255" spans="1:1" ht="13">
      <c r="A255" s="101"/>
    </row>
    <row r="256" spans="1:1" ht="13">
      <c r="A256" s="101"/>
    </row>
    <row r="257" spans="1:1" ht="13">
      <c r="A257" s="101"/>
    </row>
    <row r="258" spans="1:1" ht="13">
      <c r="A258" s="101"/>
    </row>
    <row r="259" spans="1:1" ht="13">
      <c r="A259" s="101"/>
    </row>
    <row r="260" spans="1:1" ht="13">
      <c r="A260" s="101"/>
    </row>
    <row r="261" spans="1:1" ht="13">
      <c r="A261" s="101"/>
    </row>
    <row r="262" spans="1:1" ht="13">
      <c r="A262" s="101"/>
    </row>
    <row r="263" spans="1:1" ht="13">
      <c r="A263" s="101"/>
    </row>
    <row r="264" spans="1:1" ht="13">
      <c r="A264" s="101"/>
    </row>
    <row r="265" spans="1:1" ht="13">
      <c r="A265" s="101"/>
    </row>
    <row r="266" spans="1:1" ht="13">
      <c r="A266" s="101"/>
    </row>
    <row r="267" spans="1:1" ht="13">
      <c r="A267" s="101"/>
    </row>
    <row r="268" spans="1:1" ht="13">
      <c r="A268" s="101"/>
    </row>
    <row r="269" spans="1:1" ht="13">
      <c r="A269" s="101"/>
    </row>
    <row r="270" spans="1:1" ht="13">
      <c r="A270" s="101"/>
    </row>
    <row r="271" spans="1:1" ht="13">
      <c r="A271" s="101"/>
    </row>
    <row r="272" spans="1:1" ht="13">
      <c r="A272" s="101"/>
    </row>
    <row r="273" spans="1:1" ht="13">
      <c r="A273" s="101"/>
    </row>
    <row r="274" spans="1:1" ht="13">
      <c r="A274" s="101"/>
    </row>
    <row r="275" spans="1:1" ht="13">
      <c r="A275" s="101"/>
    </row>
    <row r="276" spans="1:1" ht="13">
      <c r="A276" s="101"/>
    </row>
    <row r="277" spans="1:1" ht="13">
      <c r="A277" s="101"/>
    </row>
    <row r="278" spans="1:1" ht="13">
      <c r="A278" s="101"/>
    </row>
    <row r="279" spans="1:1" ht="13">
      <c r="A279" s="101"/>
    </row>
    <row r="280" spans="1:1" ht="13">
      <c r="A280" s="101"/>
    </row>
    <row r="281" spans="1:1" ht="13">
      <c r="A281" s="101"/>
    </row>
    <row r="282" spans="1:1" ht="13">
      <c r="A282" s="101"/>
    </row>
    <row r="283" spans="1:1" ht="13">
      <c r="A283" s="101"/>
    </row>
    <row r="284" spans="1:1" ht="13">
      <c r="A284" s="101"/>
    </row>
    <row r="285" spans="1:1" ht="13">
      <c r="A285" s="101"/>
    </row>
    <row r="286" spans="1:1" ht="13">
      <c r="A286" s="101"/>
    </row>
    <row r="287" spans="1:1" ht="13">
      <c r="A287" s="101"/>
    </row>
    <row r="288" spans="1:1" ht="13">
      <c r="A288" s="101"/>
    </row>
    <row r="289" spans="1:1" ht="13">
      <c r="A289" s="101"/>
    </row>
    <row r="290" spans="1:1" ht="13">
      <c r="A290" s="101"/>
    </row>
    <row r="291" spans="1:1" ht="13">
      <c r="A291" s="101"/>
    </row>
    <row r="292" spans="1:1" ht="13">
      <c r="A292" s="101"/>
    </row>
    <row r="293" spans="1:1" ht="13">
      <c r="A293" s="101"/>
    </row>
    <row r="294" spans="1:1" ht="13">
      <c r="A294" s="101"/>
    </row>
    <row r="295" spans="1:1" ht="13">
      <c r="A295" s="101"/>
    </row>
    <row r="296" spans="1:1" ht="13">
      <c r="A296" s="101"/>
    </row>
    <row r="297" spans="1:1" ht="13">
      <c r="A297" s="101"/>
    </row>
    <row r="298" spans="1:1" ht="13">
      <c r="A298" s="101"/>
    </row>
    <row r="299" spans="1:1" ht="13">
      <c r="A299" s="101"/>
    </row>
    <row r="300" spans="1:1" ht="13">
      <c r="A300" s="101"/>
    </row>
    <row r="301" spans="1:1" ht="13">
      <c r="A301" s="101"/>
    </row>
    <row r="302" spans="1:1" ht="13">
      <c r="A302" s="101"/>
    </row>
    <row r="303" spans="1:1" ht="13">
      <c r="A303" s="101"/>
    </row>
    <row r="304" spans="1:1" ht="13">
      <c r="A304" s="101"/>
    </row>
    <row r="305" spans="1:1" ht="13">
      <c r="A305" s="101"/>
    </row>
    <row r="306" spans="1:1" ht="13">
      <c r="A306" s="101"/>
    </row>
    <row r="307" spans="1:1" ht="13">
      <c r="A307" s="101"/>
    </row>
    <row r="308" spans="1:1" ht="13">
      <c r="A308" s="101"/>
    </row>
    <row r="309" spans="1:1" ht="13">
      <c r="A309" s="101"/>
    </row>
    <row r="310" spans="1:1" ht="13">
      <c r="A310" s="101"/>
    </row>
    <row r="311" spans="1:1" ht="13">
      <c r="A311" s="101"/>
    </row>
    <row r="312" spans="1:1" ht="13">
      <c r="A312" s="101"/>
    </row>
    <row r="313" spans="1:1" ht="13">
      <c r="A313" s="101"/>
    </row>
    <row r="314" spans="1:1" ht="13">
      <c r="A314" s="101"/>
    </row>
    <row r="315" spans="1:1" ht="13">
      <c r="A315" s="101"/>
    </row>
    <row r="316" spans="1:1" ht="13">
      <c r="A316" s="101"/>
    </row>
    <row r="317" spans="1:1" ht="13">
      <c r="A317" s="101"/>
    </row>
    <row r="318" spans="1:1" ht="13">
      <c r="A318" s="101"/>
    </row>
    <row r="319" spans="1:1" ht="13">
      <c r="A319" s="101"/>
    </row>
    <row r="320" spans="1:1" ht="13">
      <c r="A320" s="101"/>
    </row>
    <row r="321" spans="1:1" ht="13">
      <c r="A321" s="101"/>
    </row>
    <row r="322" spans="1:1" ht="13">
      <c r="A322" s="101"/>
    </row>
    <row r="323" spans="1:1" ht="13">
      <c r="A323" s="101"/>
    </row>
    <row r="324" spans="1:1" ht="13">
      <c r="A324" s="101"/>
    </row>
    <row r="325" spans="1:1" ht="13">
      <c r="A325" s="101"/>
    </row>
    <row r="326" spans="1:1" ht="13">
      <c r="A326" s="101"/>
    </row>
    <row r="327" spans="1:1" ht="13">
      <c r="A327" s="101"/>
    </row>
    <row r="328" spans="1:1" ht="13">
      <c r="A328" s="101"/>
    </row>
    <row r="329" spans="1:1" ht="13">
      <c r="A329" s="101"/>
    </row>
    <row r="330" spans="1:1" ht="13">
      <c r="A330" s="101"/>
    </row>
    <row r="331" spans="1:1" ht="13">
      <c r="A331" s="101"/>
    </row>
    <row r="332" spans="1:1" ht="13">
      <c r="A332" s="101"/>
    </row>
    <row r="333" spans="1:1" ht="13">
      <c r="A333" s="101"/>
    </row>
    <row r="334" spans="1:1" ht="13">
      <c r="A334" s="101"/>
    </row>
    <row r="335" spans="1:1" ht="13">
      <c r="A335" s="101"/>
    </row>
    <row r="336" spans="1:1" ht="13">
      <c r="A336" s="101"/>
    </row>
    <row r="337" spans="1:1" ht="13">
      <c r="A337" s="101"/>
    </row>
    <row r="338" spans="1:1" ht="13">
      <c r="A338" s="101"/>
    </row>
    <row r="339" spans="1:1" ht="13">
      <c r="A339" s="101"/>
    </row>
    <row r="340" spans="1:1" ht="13">
      <c r="A340" s="101"/>
    </row>
    <row r="341" spans="1:1" ht="13">
      <c r="A341" s="101"/>
    </row>
    <row r="342" spans="1:1" ht="13">
      <c r="A342" s="101"/>
    </row>
    <row r="343" spans="1:1" ht="13">
      <c r="A343" s="101"/>
    </row>
    <row r="344" spans="1:1" ht="13">
      <c r="A344" s="101"/>
    </row>
    <row r="345" spans="1:1" ht="13">
      <c r="A345" s="101"/>
    </row>
    <row r="346" spans="1:1" ht="13">
      <c r="A346" s="101"/>
    </row>
    <row r="347" spans="1:1" ht="13">
      <c r="A347" s="101"/>
    </row>
    <row r="348" spans="1:1" ht="13">
      <c r="A348" s="101"/>
    </row>
    <row r="349" spans="1:1" ht="13">
      <c r="A349" s="101"/>
    </row>
    <row r="350" spans="1:1" ht="13">
      <c r="A350" s="101"/>
    </row>
    <row r="351" spans="1:1" ht="13">
      <c r="A351" s="101"/>
    </row>
    <row r="352" spans="1:1" ht="13">
      <c r="A352" s="101"/>
    </row>
    <row r="353" spans="1:1" ht="13">
      <c r="A353" s="101"/>
    </row>
    <row r="354" spans="1:1" ht="13">
      <c r="A354" s="101"/>
    </row>
    <row r="355" spans="1:1" ht="13">
      <c r="A355" s="101"/>
    </row>
    <row r="356" spans="1:1" ht="13">
      <c r="A356" s="101"/>
    </row>
    <row r="357" spans="1:1" ht="13">
      <c r="A357" s="101"/>
    </row>
    <row r="358" spans="1:1" ht="13">
      <c r="A358" s="101"/>
    </row>
    <row r="359" spans="1:1" ht="13">
      <c r="A359" s="101"/>
    </row>
    <row r="360" spans="1:1" ht="13">
      <c r="A360" s="101"/>
    </row>
    <row r="361" spans="1:1" ht="13">
      <c r="A361" s="101"/>
    </row>
    <row r="362" spans="1:1" ht="13">
      <c r="A362" s="101"/>
    </row>
    <row r="363" spans="1:1" ht="13">
      <c r="A363" s="101"/>
    </row>
    <row r="364" spans="1:1" ht="13">
      <c r="A364" s="101"/>
    </row>
    <row r="365" spans="1:1" ht="13">
      <c r="A365" s="101"/>
    </row>
    <row r="366" spans="1:1" ht="13">
      <c r="A366" s="101"/>
    </row>
    <row r="367" spans="1:1" ht="13">
      <c r="A367" s="101"/>
    </row>
    <row r="368" spans="1:1" ht="13">
      <c r="A368" s="101"/>
    </row>
    <row r="369" spans="1:1" ht="13">
      <c r="A369" s="101"/>
    </row>
    <row r="370" spans="1:1" ht="13">
      <c r="A370" s="101"/>
    </row>
    <row r="371" spans="1:1" ht="13">
      <c r="A371" s="101"/>
    </row>
    <row r="372" spans="1:1" ht="13">
      <c r="A372" s="101"/>
    </row>
    <row r="373" spans="1:1" ht="13">
      <c r="A373" s="101"/>
    </row>
    <row r="374" spans="1:1" ht="13">
      <c r="A374" s="101"/>
    </row>
    <row r="375" spans="1:1" ht="13">
      <c r="A375" s="101"/>
    </row>
    <row r="376" spans="1:1" ht="13">
      <c r="A376" s="101"/>
    </row>
    <row r="377" spans="1:1" ht="13">
      <c r="A377" s="101"/>
    </row>
    <row r="378" spans="1:1" ht="13">
      <c r="A378" s="101"/>
    </row>
    <row r="379" spans="1:1" ht="13">
      <c r="A379" s="101"/>
    </row>
    <row r="380" spans="1:1" ht="13">
      <c r="A380" s="101"/>
    </row>
    <row r="381" spans="1:1" ht="13">
      <c r="A381" s="101"/>
    </row>
    <row r="382" spans="1:1" ht="13">
      <c r="A382" s="101"/>
    </row>
    <row r="383" spans="1:1" ht="13">
      <c r="A383" s="101"/>
    </row>
    <row r="384" spans="1:1" ht="13">
      <c r="A384" s="101"/>
    </row>
    <row r="385" spans="1:1" ht="13">
      <c r="A385" s="101"/>
    </row>
    <row r="386" spans="1:1" ht="13">
      <c r="A386" s="101"/>
    </row>
    <row r="387" spans="1:1" ht="13">
      <c r="A387" s="101"/>
    </row>
    <row r="388" spans="1:1" ht="13">
      <c r="A388" s="101"/>
    </row>
    <row r="389" spans="1:1" ht="13">
      <c r="A389" s="101"/>
    </row>
    <row r="390" spans="1:1" ht="13">
      <c r="A390" s="101"/>
    </row>
    <row r="391" spans="1:1" ht="13">
      <c r="A391" s="101"/>
    </row>
    <row r="392" spans="1:1" ht="13">
      <c r="A392" s="101"/>
    </row>
    <row r="393" spans="1:1" ht="13">
      <c r="A393" s="101"/>
    </row>
    <row r="394" spans="1:1" ht="13">
      <c r="A394" s="101"/>
    </row>
    <row r="395" spans="1:1" ht="13">
      <c r="A395" s="101"/>
    </row>
    <row r="396" spans="1:1" ht="13">
      <c r="A396" s="101"/>
    </row>
    <row r="397" spans="1:1" ht="13">
      <c r="A397" s="101"/>
    </row>
    <row r="398" spans="1:1" ht="13">
      <c r="A398" s="101"/>
    </row>
    <row r="399" spans="1:1" ht="13">
      <c r="A399" s="101"/>
    </row>
    <row r="400" spans="1:1" ht="13">
      <c r="A400" s="101"/>
    </row>
    <row r="401" spans="1:1" ht="13">
      <c r="A401" s="101"/>
    </row>
    <row r="402" spans="1:1" ht="13">
      <c r="A402" s="101"/>
    </row>
    <row r="403" spans="1:1" ht="13">
      <c r="A403" s="101"/>
    </row>
    <row r="404" spans="1:1" ht="13">
      <c r="A404" s="101"/>
    </row>
    <row r="405" spans="1:1" ht="13">
      <c r="A405" s="101"/>
    </row>
    <row r="406" spans="1:1" ht="13">
      <c r="A406" s="101"/>
    </row>
    <row r="407" spans="1:1" ht="13">
      <c r="A407" s="101"/>
    </row>
    <row r="408" spans="1:1" ht="13">
      <c r="A408" s="101"/>
    </row>
    <row r="409" spans="1:1" ht="13">
      <c r="A409" s="101"/>
    </row>
    <row r="410" spans="1:1" ht="13">
      <c r="A410" s="101"/>
    </row>
    <row r="411" spans="1:1" ht="13">
      <c r="A411" s="101"/>
    </row>
    <row r="412" spans="1:1" ht="13">
      <c r="A412" s="101"/>
    </row>
    <row r="413" spans="1:1" ht="13">
      <c r="A413" s="101"/>
    </row>
    <row r="414" spans="1:1" ht="13">
      <c r="A414" s="101"/>
    </row>
    <row r="415" spans="1:1" ht="13">
      <c r="A415" s="101"/>
    </row>
    <row r="416" spans="1:1" ht="13">
      <c r="A416" s="101"/>
    </row>
    <row r="417" spans="1:1" ht="13">
      <c r="A417" s="101"/>
    </row>
    <row r="418" spans="1:1" ht="13">
      <c r="A418" s="101"/>
    </row>
    <row r="419" spans="1:1" ht="13">
      <c r="A419" s="101"/>
    </row>
    <row r="420" spans="1:1" ht="13">
      <c r="A420" s="101"/>
    </row>
    <row r="421" spans="1:1" ht="13">
      <c r="A421" s="101"/>
    </row>
    <row r="422" spans="1:1" ht="13">
      <c r="A422" s="101"/>
    </row>
    <row r="423" spans="1:1" ht="13">
      <c r="A423" s="101"/>
    </row>
    <row r="424" spans="1:1" ht="13">
      <c r="A424" s="101"/>
    </row>
    <row r="425" spans="1:1" ht="13">
      <c r="A425" s="101"/>
    </row>
    <row r="426" spans="1:1" ht="13">
      <c r="A426" s="101"/>
    </row>
    <row r="427" spans="1:1" ht="13">
      <c r="A427" s="101"/>
    </row>
    <row r="428" spans="1:1" ht="13">
      <c r="A428" s="101"/>
    </row>
    <row r="429" spans="1:1" ht="13">
      <c r="A429" s="101"/>
    </row>
    <row r="430" spans="1:1" ht="13">
      <c r="A430" s="101"/>
    </row>
    <row r="431" spans="1:1" ht="13">
      <c r="A431" s="101"/>
    </row>
    <row r="432" spans="1:1" ht="13">
      <c r="A432" s="101"/>
    </row>
    <row r="433" spans="1:1" ht="13">
      <c r="A433" s="101"/>
    </row>
    <row r="434" spans="1:1" ht="13">
      <c r="A434" s="101"/>
    </row>
    <row r="435" spans="1:1" ht="13">
      <c r="A435" s="101"/>
    </row>
    <row r="436" spans="1:1" ht="13">
      <c r="A436" s="101"/>
    </row>
    <row r="437" spans="1:1" ht="13">
      <c r="A437" s="101"/>
    </row>
    <row r="438" spans="1:1" ht="13">
      <c r="A438" s="101"/>
    </row>
    <row r="439" spans="1:1" ht="13">
      <c r="A439" s="101"/>
    </row>
    <row r="440" spans="1:1" ht="13">
      <c r="A440" s="101"/>
    </row>
    <row r="441" spans="1:1" ht="13">
      <c r="A441" s="101"/>
    </row>
    <row r="442" spans="1:1" ht="13">
      <c r="A442" s="101"/>
    </row>
    <row r="443" spans="1:1" ht="13">
      <c r="A443" s="101"/>
    </row>
    <row r="444" spans="1:1" ht="13">
      <c r="A444" s="101"/>
    </row>
    <row r="445" spans="1:1" ht="13">
      <c r="A445" s="101"/>
    </row>
    <row r="446" spans="1:1" ht="13">
      <c r="A446" s="101"/>
    </row>
    <row r="447" spans="1:1" ht="13">
      <c r="A447" s="101"/>
    </row>
    <row r="448" spans="1:1" ht="13">
      <c r="A448" s="101"/>
    </row>
    <row r="449" spans="1:1" ht="13">
      <c r="A449" s="101"/>
    </row>
    <row r="450" spans="1:1" ht="13">
      <c r="A450" s="101"/>
    </row>
    <row r="451" spans="1:1" ht="13">
      <c r="A451" s="101"/>
    </row>
    <row r="452" spans="1:1" ht="13">
      <c r="A452" s="101"/>
    </row>
    <row r="453" spans="1:1" ht="13">
      <c r="A453" s="101"/>
    </row>
    <row r="454" spans="1:1" ht="13">
      <c r="A454" s="101"/>
    </row>
    <row r="455" spans="1:1" ht="13">
      <c r="A455" s="101"/>
    </row>
    <row r="456" spans="1:1" ht="13">
      <c r="A456" s="101"/>
    </row>
    <row r="457" spans="1:1" ht="13">
      <c r="A457" s="101"/>
    </row>
    <row r="458" spans="1:1" ht="13">
      <c r="A458" s="101"/>
    </row>
    <row r="459" spans="1:1" ht="13">
      <c r="A459" s="101"/>
    </row>
    <row r="460" spans="1:1" ht="13">
      <c r="A460" s="101"/>
    </row>
    <row r="461" spans="1:1" ht="13">
      <c r="A461" s="101"/>
    </row>
    <row r="462" spans="1:1" ht="13">
      <c r="A462" s="101"/>
    </row>
    <row r="463" spans="1:1" ht="13">
      <c r="A463" s="101"/>
    </row>
    <row r="464" spans="1:1" ht="13">
      <c r="A464" s="101"/>
    </row>
    <row r="465" spans="1:1" ht="13">
      <c r="A465" s="101"/>
    </row>
    <row r="466" spans="1:1" ht="13">
      <c r="A466" s="101"/>
    </row>
    <row r="467" spans="1:1" ht="13">
      <c r="A467" s="101"/>
    </row>
    <row r="468" spans="1:1" ht="13">
      <c r="A468" s="101"/>
    </row>
    <row r="469" spans="1:1" ht="13">
      <c r="A469" s="101"/>
    </row>
    <row r="470" spans="1:1" ht="13">
      <c r="A470" s="101"/>
    </row>
    <row r="471" spans="1:1" ht="13">
      <c r="A471" s="101"/>
    </row>
    <row r="472" spans="1:1" ht="13">
      <c r="A472" s="101"/>
    </row>
    <row r="473" spans="1:1" ht="13">
      <c r="A473" s="101"/>
    </row>
    <row r="474" spans="1:1" ht="13">
      <c r="A474" s="101"/>
    </row>
    <row r="475" spans="1:1" ht="13">
      <c r="A475" s="101"/>
    </row>
    <row r="476" spans="1:1" ht="13">
      <c r="A476" s="101"/>
    </row>
    <row r="477" spans="1:1" ht="13">
      <c r="A477" s="101"/>
    </row>
    <row r="478" spans="1:1" ht="13">
      <c r="A478" s="101"/>
    </row>
    <row r="479" spans="1:1" ht="13">
      <c r="A479" s="101"/>
    </row>
    <row r="480" spans="1:1" ht="13">
      <c r="A480" s="101"/>
    </row>
    <row r="481" spans="1:1" ht="13">
      <c r="A481" s="101"/>
    </row>
    <row r="482" spans="1:1" ht="13">
      <c r="A482" s="101"/>
    </row>
    <row r="483" spans="1:1" ht="13">
      <c r="A483" s="101"/>
    </row>
    <row r="484" spans="1:1" ht="13">
      <c r="A484" s="101"/>
    </row>
    <row r="485" spans="1:1" ht="13">
      <c r="A485" s="101"/>
    </row>
    <row r="486" spans="1:1" ht="13">
      <c r="A486" s="101"/>
    </row>
    <row r="487" spans="1:1" ht="13">
      <c r="A487" s="101"/>
    </row>
    <row r="488" spans="1:1" ht="13">
      <c r="A488" s="101"/>
    </row>
    <row r="489" spans="1:1" ht="13">
      <c r="A489" s="101"/>
    </row>
    <row r="490" spans="1:1" ht="13">
      <c r="A490" s="101"/>
    </row>
    <row r="491" spans="1:1" ht="13">
      <c r="A491" s="101"/>
    </row>
    <row r="492" spans="1:1" ht="13">
      <c r="A492" s="101"/>
    </row>
    <row r="493" spans="1:1" ht="13">
      <c r="A493" s="101"/>
    </row>
    <row r="494" spans="1:1" ht="13">
      <c r="A494" s="101"/>
    </row>
    <row r="495" spans="1:1" ht="13">
      <c r="A495" s="101"/>
    </row>
    <row r="496" spans="1:1" ht="13">
      <c r="A496" s="101"/>
    </row>
    <row r="497" spans="1:1" ht="13">
      <c r="A497" s="101"/>
    </row>
    <row r="498" spans="1:1" ht="13">
      <c r="A498" s="101"/>
    </row>
    <row r="499" spans="1:1" ht="13">
      <c r="A499" s="101"/>
    </row>
    <row r="500" spans="1:1" ht="13">
      <c r="A500" s="101"/>
    </row>
    <row r="501" spans="1:1" ht="13">
      <c r="A501" s="101"/>
    </row>
    <row r="502" spans="1:1" ht="13">
      <c r="A502" s="101"/>
    </row>
    <row r="503" spans="1:1" ht="13">
      <c r="A503" s="101"/>
    </row>
    <row r="504" spans="1:1" ht="13">
      <c r="A504" s="101"/>
    </row>
    <row r="505" spans="1:1" ht="13">
      <c r="A505" s="101"/>
    </row>
    <row r="506" spans="1:1" ht="13">
      <c r="A506" s="101"/>
    </row>
    <row r="507" spans="1:1" ht="13">
      <c r="A507" s="101"/>
    </row>
    <row r="508" spans="1:1" ht="13">
      <c r="A508" s="101"/>
    </row>
    <row r="509" spans="1:1" ht="13">
      <c r="A509" s="101"/>
    </row>
    <row r="510" spans="1:1" ht="13">
      <c r="A510" s="101"/>
    </row>
    <row r="511" spans="1:1" ht="13">
      <c r="A511" s="101"/>
    </row>
    <row r="512" spans="1:1" ht="13">
      <c r="A512" s="101"/>
    </row>
    <row r="513" spans="1:1" ht="13">
      <c r="A513" s="101"/>
    </row>
    <row r="514" spans="1:1" ht="13">
      <c r="A514" s="101"/>
    </row>
    <row r="515" spans="1:1" ht="13">
      <c r="A515" s="101"/>
    </row>
    <row r="516" spans="1:1" ht="13">
      <c r="A516" s="101"/>
    </row>
    <row r="517" spans="1:1" ht="13">
      <c r="A517" s="101"/>
    </row>
    <row r="518" spans="1:1" ht="13">
      <c r="A518" s="101"/>
    </row>
    <row r="519" spans="1:1" ht="13">
      <c r="A519" s="101"/>
    </row>
    <row r="520" spans="1:1" ht="13">
      <c r="A520" s="101"/>
    </row>
    <row r="521" spans="1:1" ht="13">
      <c r="A521" s="101"/>
    </row>
    <row r="522" spans="1:1" ht="13">
      <c r="A522" s="101"/>
    </row>
    <row r="523" spans="1:1" ht="13">
      <c r="A523" s="101"/>
    </row>
    <row r="524" spans="1:1" ht="13">
      <c r="A524" s="101"/>
    </row>
    <row r="525" spans="1:1" ht="13">
      <c r="A525" s="101"/>
    </row>
    <row r="526" spans="1:1" ht="13">
      <c r="A526" s="101"/>
    </row>
    <row r="527" spans="1:1" ht="13">
      <c r="A527" s="101"/>
    </row>
    <row r="528" spans="1:1" ht="13">
      <c r="A528" s="101"/>
    </row>
    <row r="529" spans="1:1" ht="13">
      <c r="A529" s="101"/>
    </row>
    <row r="530" spans="1:1" ht="13">
      <c r="A530" s="101"/>
    </row>
    <row r="531" spans="1:1" ht="13">
      <c r="A531" s="101"/>
    </row>
    <row r="532" spans="1:1" ht="13">
      <c r="A532" s="101"/>
    </row>
    <row r="533" spans="1:1" ht="13">
      <c r="A533" s="101"/>
    </row>
    <row r="534" spans="1:1" ht="13">
      <c r="A534" s="101"/>
    </row>
    <row r="535" spans="1:1" ht="13">
      <c r="A535" s="101"/>
    </row>
    <row r="536" spans="1:1" ht="13">
      <c r="A536" s="101"/>
    </row>
    <row r="537" spans="1:1" ht="13">
      <c r="A537" s="101"/>
    </row>
    <row r="538" spans="1:1" ht="13">
      <c r="A538" s="101"/>
    </row>
    <row r="539" spans="1:1" ht="13">
      <c r="A539" s="101"/>
    </row>
    <row r="540" spans="1:1" ht="13">
      <c r="A540" s="101"/>
    </row>
    <row r="541" spans="1:1" ht="13">
      <c r="A541" s="101"/>
    </row>
    <row r="542" spans="1:1" ht="13">
      <c r="A542" s="101"/>
    </row>
    <row r="543" spans="1:1" ht="13">
      <c r="A543" s="101"/>
    </row>
    <row r="544" spans="1:1" ht="13">
      <c r="A544" s="101"/>
    </row>
    <row r="545" spans="1:1" ht="13">
      <c r="A545" s="101"/>
    </row>
    <row r="546" spans="1:1" ht="13">
      <c r="A546" s="101"/>
    </row>
    <row r="547" spans="1:1" ht="13">
      <c r="A547" s="101"/>
    </row>
    <row r="548" spans="1:1" ht="13">
      <c r="A548" s="101"/>
    </row>
    <row r="549" spans="1:1" ht="13">
      <c r="A549" s="101"/>
    </row>
    <row r="550" spans="1:1" ht="13">
      <c r="A550" s="101"/>
    </row>
    <row r="551" spans="1:1" ht="13">
      <c r="A551" s="101"/>
    </row>
    <row r="552" spans="1:1" ht="13">
      <c r="A552" s="101"/>
    </row>
    <row r="553" spans="1:1" ht="13">
      <c r="A553" s="101"/>
    </row>
    <row r="554" spans="1:1" ht="13">
      <c r="A554" s="101"/>
    </row>
    <row r="555" spans="1:1" ht="13">
      <c r="A555" s="101"/>
    </row>
    <row r="556" spans="1:1" ht="13">
      <c r="A556" s="101"/>
    </row>
    <row r="557" spans="1:1" ht="13">
      <c r="A557" s="101"/>
    </row>
    <row r="558" spans="1:1" ht="13">
      <c r="A558" s="101"/>
    </row>
    <row r="559" spans="1:1" ht="13">
      <c r="A559" s="101"/>
    </row>
    <row r="560" spans="1:1" ht="13">
      <c r="A560" s="101"/>
    </row>
    <row r="561" spans="1:1" ht="13">
      <c r="A561" s="101"/>
    </row>
    <row r="562" spans="1:1" ht="13">
      <c r="A562" s="101"/>
    </row>
    <row r="563" spans="1:1" ht="13">
      <c r="A563" s="101"/>
    </row>
    <row r="564" spans="1:1" ht="13">
      <c r="A564" s="101"/>
    </row>
    <row r="565" spans="1:1" ht="13">
      <c r="A565" s="101"/>
    </row>
    <row r="566" spans="1:1" ht="13">
      <c r="A566" s="101"/>
    </row>
    <row r="567" spans="1:1" ht="13">
      <c r="A567" s="101"/>
    </row>
    <row r="568" spans="1:1" ht="13">
      <c r="A568" s="101"/>
    </row>
    <row r="569" spans="1:1" ht="13">
      <c r="A569" s="101"/>
    </row>
    <row r="570" spans="1:1" ht="13">
      <c r="A570" s="101"/>
    </row>
    <row r="571" spans="1:1" ht="13">
      <c r="A571" s="101"/>
    </row>
    <row r="572" spans="1:1" ht="13">
      <c r="A572" s="101"/>
    </row>
    <row r="573" spans="1:1" ht="13">
      <c r="A573" s="101"/>
    </row>
    <row r="574" spans="1:1" ht="13">
      <c r="A574" s="101"/>
    </row>
    <row r="575" spans="1:1" ht="13">
      <c r="A575" s="101"/>
    </row>
    <row r="576" spans="1:1" ht="13">
      <c r="A576" s="101"/>
    </row>
    <row r="577" spans="1:1" ht="13">
      <c r="A577" s="101"/>
    </row>
    <row r="578" spans="1:1" ht="13">
      <c r="A578" s="101"/>
    </row>
    <row r="579" spans="1:1" ht="13">
      <c r="A579" s="101"/>
    </row>
    <row r="580" spans="1:1" ht="13">
      <c r="A580" s="101"/>
    </row>
    <row r="581" spans="1:1" ht="13">
      <c r="A581" s="101"/>
    </row>
    <row r="582" spans="1:1" ht="13">
      <c r="A582" s="101"/>
    </row>
    <row r="583" spans="1:1" ht="13">
      <c r="A583" s="101"/>
    </row>
    <row r="584" spans="1:1" ht="13">
      <c r="A584" s="101"/>
    </row>
    <row r="585" spans="1:1" ht="13">
      <c r="A585" s="101"/>
    </row>
    <row r="586" spans="1:1" ht="13">
      <c r="A586" s="101"/>
    </row>
    <row r="587" spans="1:1" ht="13">
      <c r="A587" s="101"/>
    </row>
    <row r="588" spans="1:1" ht="13">
      <c r="A588" s="101"/>
    </row>
    <row r="589" spans="1:1" ht="13">
      <c r="A589" s="101"/>
    </row>
    <row r="590" spans="1:1" ht="13">
      <c r="A590" s="101"/>
    </row>
    <row r="591" spans="1:1" ht="13">
      <c r="A591" s="101"/>
    </row>
    <row r="592" spans="1:1" ht="13">
      <c r="A592" s="101"/>
    </row>
    <row r="593" spans="1:1" ht="13">
      <c r="A593" s="101"/>
    </row>
    <row r="594" spans="1:1" ht="13">
      <c r="A594" s="101"/>
    </row>
    <row r="595" spans="1:1" ht="13">
      <c r="A595" s="101"/>
    </row>
    <row r="596" spans="1:1" ht="13">
      <c r="A596" s="101"/>
    </row>
    <row r="597" spans="1:1" ht="13">
      <c r="A597" s="101"/>
    </row>
    <row r="598" spans="1:1" ht="13">
      <c r="A598" s="101"/>
    </row>
    <row r="599" spans="1:1" ht="13">
      <c r="A599" s="101"/>
    </row>
    <row r="600" spans="1:1" ht="13">
      <c r="A600" s="101"/>
    </row>
    <row r="601" spans="1:1" ht="13">
      <c r="A601" s="101"/>
    </row>
    <row r="602" spans="1:1" ht="13">
      <c r="A602" s="101"/>
    </row>
    <row r="603" spans="1:1" ht="13">
      <c r="A603" s="101"/>
    </row>
    <row r="604" spans="1:1" ht="13">
      <c r="A604" s="101"/>
    </row>
    <row r="605" spans="1:1" ht="13">
      <c r="A605" s="101"/>
    </row>
    <row r="606" spans="1:1" ht="13">
      <c r="A606" s="101"/>
    </row>
    <row r="607" spans="1:1" ht="13">
      <c r="A607" s="101"/>
    </row>
    <row r="608" spans="1:1" ht="13">
      <c r="A608" s="101"/>
    </row>
    <row r="609" spans="1:1" ht="13">
      <c r="A609" s="101"/>
    </row>
    <row r="610" spans="1:1" ht="13">
      <c r="A610" s="101"/>
    </row>
    <row r="611" spans="1:1" ht="13">
      <c r="A611" s="101"/>
    </row>
    <row r="612" spans="1:1" ht="13">
      <c r="A612" s="101"/>
    </row>
    <row r="613" spans="1:1" ht="13">
      <c r="A613" s="101"/>
    </row>
    <row r="614" spans="1:1" ht="13">
      <c r="A614" s="101"/>
    </row>
    <row r="615" spans="1:1" ht="13">
      <c r="A615" s="101"/>
    </row>
    <row r="616" spans="1:1" ht="13">
      <c r="A616" s="101"/>
    </row>
    <row r="617" spans="1:1" ht="13">
      <c r="A617" s="101"/>
    </row>
    <row r="618" spans="1:1" ht="13">
      <c r="A618" s="101"/>
    </row>
    <row r="619" spans="1:1" ht="13">
      <c r="A619" s="101"/>
    </row>
    <row r="620" spans="1:1" ht="13">
      <c r="A620" s="101"/>
    </row>
    <row r="621" spans="1:1" ht="13">
      <c r="A621" s="101"/>
    </row>
    <row r="622" spans="1:1" ht="13">
      <c r="A622" s="101"/>
    </row>
    <row r="623" spans="1:1" ht="13">
      <c r="A623" s="101"/>
    </row>
    <row r="624" spans="1:1" ht="13">
      <c r="A624" s="101"/>
    </row>
    <row r="625" spans="1:1" ht="13">
      <c r="A625" s="101"/>
    </row>
    <row r="626" spans="1:1" ht="13">
      <c r="A626" s="101"/>
    </row>
    <row r="627" spans="1:1" ht="13">
      <c r="A627" s="101"/>
    </row>
    <row r="628" spans="1:1" ht="13">
      <c r="A628" s="101"/>
    </row>
    <row r="629" spans="1:1" ht="13">
      <c r="A629" s="101"/>
    </row>
    <row r="630" spans="1:1" ht="13">
      <c r="A630" s="101"/>
    </row>
    <row r="631" spans="1:1" ht="13">
      <c r="A631" s="101"/>
    </row>
    <row r="632" spans="1:1" ht="13">
      <c r="A632" s="101"/>
    </row>
    <row r="633" spans="1:1" ht="13">
      <c r="A633" s="101"/>
    </row>
    <row r="634" spans="1:1" ht="13">
      <c r="A634" s="101"/>
    </row>
    <row r="635" spans="1:1" ht="13">
      <c r="A635" s="101"/>
    </row>
    <row r="636" spans="1:1" ht="13">
      <c r="A636" s="101"/>
    </row>
    <row r="637" spans="1:1" ht="13">
      <c r="A637" s="101"/>
    </row>
    <row r="638" spans="1:1" ht="13">
      <c r="A638" s="101"/>
    </row>
    <row r="639" spans="1:1" ht="13">
      <c r="A639" s="101"/>
    </row>
    <row r="640" spans="1:1" ht="13">
      <c r="A640" s="101"/>
    </row>
    <row r="641" spans="1:1" ht="13">
      <c r="A641" s="101"/>
    </row>
    <row r="642" spans="1:1" ht="13">
      <c r="A642" s="101"/>
    </row>
    <row r="643" spans="1:1" ht="13">
      <c r="A643" s="101"/>
    </row>
    <row r="644" spans="1:1" ht="13">
      <c r="A644" s="101"/>
    </row>
    <row r="645" spans="1:1" ht="13">
      <c r="A645" s="101"/>
    </row>
    <row r="646" spans="1:1" ht="13">
      <c r="A646" s="101"/>
    </row>
    <row r="647" spans="1:1" ht="13">
      <c r="A647" s="101"/>
    </row>
    <row r="648" spans="1:1" ht="13">
      <c r="A648" s="101"/>
    </row>
    <row r="649" spans="1:1" ht="13">
      <c r="A649" s="101"/>
    </row>
    <row r="650" spans="1:1" ht="13">
      <c r="A650" s="101"/>
    </row>
    <row r="651" spans="1:1" ht="13">
      <c r="A651" s="101"/>
    </row>
    <row r="652" spans="1:1" ht="13">
      <c r="A652" s="101"/>
    </row>
    <row r="653" spans="1:1" ht="13">
      <c r="A653" s="101"/>
    </row>
    <row r="654" spans="1:1" ht="13">
      <c r="A654" s="101"/>
    </row>
    <row r="655" spans="1:1" ht="13">
      <c r="A655" s="101"/>
    </row>
    <row r="656" spans="1:1" ht="13">
      <c r="A656" s="101"/>
    </row>
    <row r="657" spans="1:1" ht="13">
      <c r="A657" s="101"/>
    </row>
    <row r="658" spans="1:1" ht="13">
      <c r="A658" s="101"/>
    </row>
    <row r="659" spans="1:1" ht="13">
      <c r="A659" s="101"/>
    </row>
    <row r="660" spans="1:1" ht="13">
      <c r="A660" s="101"/>
    </row>
    <row r="661" spans="1:1" ht="13">
      <c r="A661" s="101"/>
    </row>
    <row r="662" spans="1:1" ht="13">
      <c r="A662" s="101"/>
    </row>
    <row r="663" spans="1:1" ht="13">
      <c r="A663" s="101"/>
    </row>
    <row r="664" spans="1:1" ht="13">
      <c r="A664" s="101"/>
    </row>
    <row r="665" spans="1:1" ht="13">
      <c r="A665" s="101"/>
    </row>
    <row r="666" spans="1:1" ht="13">
      <c r="A666" s="101"/>
    </row>
    <row r="667" spans="1:1" ht="13">
      <c r="A667" s="101"/>
    </row>
    <row r="668" spans="1:1" ht="13">
      <c r="A668" s="101"/>
    </row>
    <row r="669" spans="1:1" ht="13">
      <c r="A669" s="101"/>
    </row>
    <row r="670" spans="1:1" ht="13">
      <c r="A670" s="101"/>
    </row>
    <row r="671" spans="1:1" ht="13">
      <c r="A671" s="101"/>
    </row>
    <row r="672" spans="1:1" ht="13">
      <c r="A672" s="101"/>
    </row>
    <row r="673" spans="1:1" ht="13">
      <c r="A673" s="101"/>
    </row>
    <row r="674" spans="1:1" ht="13">
      <c r="A674" s="101"/>
    </row>
    <row r="675" spans="1:1" ht="13">
      <c r="A675" s="101"/>
    </row>
    <row r="676" spans="1:1" ht="13">
      <c r="A676" s="101"/>
    </row>
    <row r="677" spans="1:1" ht="13">
      <c r="A677" s="101"/>
    </row>
    <row r="678" spans="1:1" ht="13">
      <c r="A678" s="101"/>
    </row>
    <row r="679" spans="1:1" ht="13">
      <c r="A679" s="101"/>
    </row>
    <row r="680" spans="1:1" ht="13">
      <c r="A680" s="101"/>
    </row>
    <row r="681" spans="1:1" ht="13">
      <c r="A681" s="101"/>
    </row>
    <row r="682" spans="1:1" ht="13">
      <c r="A682" s="101"/>
    </row>
    <row r="683" spans="1:1" ht="13">
      <c r="A683" s="101"/>
    </row>
    <row r="684" spans="1:1" ht="13">
      <c r="A684" s="101"/>
    </row>
    <row r="685" spans="1:1" ht="13">
      <c r="A685" s="101"/>
    </row>
    <row r="686" spans="1:1" ht="13">
      <c r="A686" s="101"/>
    </row>
    <row r="687" spans="1:1" ht="13">
      <c r="A687" s="101"/>
    </row>
    <row r="688" spans="1:1" ht="13">
      <c r="A688" s="101"/>
    </row>
    <row r="689" spans="1:1" ht="13">
      <c r="A689" s="101"/>
    </row>
    <row r="690" spans="1:1" ht="13">
      <c r="A690" s="101"/>
    </row>
    <row r="691" spans="1:1" ht="13">
      <c r="A691" s="101"/>
    </row>
    <row r="692" spans="1:1" ht="13">
      <c r="A692" s="101"/>
    </row>
    <row r="693" spans="1:1" ht="13">
      <c r="A693" s="101"/>
    </row>
    <row r="694" spans="1:1" ht="13">
      <c r="A694" s="101"/>
    </row>
    <row r="695" spans="1:1" ht="13">
      <c r="A695" s="101"/>
    </row>
    <row r="696" spans="1:1" ht="13">
      <c r="A696" s="101"/>
    </row>
    <row r="697" spans="1:1" ht="13">
      <c r="A697" s="101"/>
    </row>
    <row r="698" spans="1:1" ht="13">
      <c r="A698" s="101"/>
    </row>
    <row r="699" spans="1:1" ht="13">
      <c r="A699" s="101"/>
    </row>
    <row r="700" spans="1:1" ht="13">
      <c r="A700" s="101"/>
    </row>
    <row r="701" spans="1:1" ht="13">
      <c r="A701" s="101"/>
    </row>
    <row r="702" spans="1:1" ht="13">
      <c r="A702" s="101"/>
    </row>
    <row r="703" spans="1:1" ht="13">
      <c r="A703" s="101"/>
    </row>
    <row r="704" spans="1:1" ht="13">
      <c r="A704" s="101"/>
    </row>
    <row r="705" spans="1:1" ht="13">
      <c r="A705" s="101"/>
    </row>
    <row r="706" spans="1:1" ht="13">
      <c r="A706" s="101"/>
    </row>
    <row r="707" spans="1:1" ht="13">
      <c r="A707" s="101"/>
    </row>
    <row r="708" spans="1:1" ht="13">
      <c r="A708" s="101"/>
    </row>
    <row r="709" spans="1:1" ht="13">
      <c r="A709" s="101"/>
    </row>
    <row r="710" spans="1:1" ht="13">
      <c r="A710" s="101"/>
    </row>
    <row r="711" spans="1:1" ht="13">
      <c r="A711" s="101"/>
    </row>
    <row r="712" spans="1:1" ht="13">
      <c r="A712" s="101"/>
    </row>
    <row r="713" spans="1:1" ht="13">
      <c r="A713" s="101"/>
    </row>
    <row r="714" spans="1:1" ht="13">
      <c r="A714" s="101"/>
    </row>
    <row r="715" spans="1:1" ht="13">
      <c r="A715" s="101"/>
    </row>
    <row r="716" spans="1:1" ht="13">
      <c r="A716" s="101"/>
    </row>
    <row r="717" spans="1:1" ht="13">
      <c r="A717" s="101"/>
    </row>
    <row r="718" spans="1:1" ht="13">
      <c r="A718" s="101"/>
    </row>
    <row r="719" spans="1:1" ht="13">
      <c r="A719" s="101"/>
    </row>
    <row r="720" spans="1:1" ht="13">
      <c r="A720" s="101"/>
    </row>
    <row r="721" spans="1:1" ht="13">
      <c r="A721" s="101"/>
    </row>
    <row r="722" spans="1:1" ht="13">
      <c r="A722" s="101"/>
    </row>
    <row r="723" spans="1:1" ht="13">
      <c r="A723" s="101"/>
    </row>
    <row r="724" spans="1:1" ht="13">
      <c r="A724" s="101"/>
    </row>
    <row r="725" spans="1:1" ht="13">
      <c r="A725" s="101"/>
    </row>
    <row r="726" spans="1:1" ht="13">
      <c r="A726" s="101"/>
    </row>
    <row r="727" spans="1:1" ht="13">
      <c r="A727" s="101"/>
    </row>
    <row r="728" spans="1:1" ht="13">
      <c r="A728" s="101"/>
    </row>
    <row r="729" spans="1:1" ht="13">
      <c r="A729" s="101"/>
    </row>
    <row r="730" spans="1:1" ht="13">
      <c r="A730" s="101"/>
    </row>
    <row r="731" spans="1:1" ht="13">
      <c r="A731" s="101"/>
    </row>
    <row r="732" spans="1:1" ht="13">
      <c r="A732" s="101"/>
    </row>
    <row r="733" spans="1:1" ht="13">
      <c r="A733" s="101"/>
    </row>
    <row r="734" spans="1:1" ht="13">
      <c r="A734" s="101"/>
    </row>
    <row r="735" spans="1:1" ht="13">
      <c r="A735" s="101"/>
    </row>
    <row r="736" spans="1:1" ht="13">
      <c r="A736" s="101"/>
    </row>
    <row r="737" spans="1:1" ht="13">
      <c r="A737" s="101"/>
    </row>
    <row r="738" spans="1:1" ht="13">
      <c r="A738" s="101"/>
    </row>
    <row r="739" spans="1:1" ht="13">
      <c r="A739" s="101"/>
    </row>
    <row r="740" spans="1:1" ht="13">
      <c r="A740" s="101"/>
    </row>
    <row r="741" spans="1:1" ht="13">
      <c r="A741" s="101"/>
    </row>
    <row r="742" spans="1:1" ht="13">
      <c r="A742" s="101"/>
    </row>
    <row r="743" spans="1:1" ht="13">
      <c r="A743" s="101"/>
    </row>
    <row r="744" spans="1:1" ht="13">
      <c r="A744" s="101"/>
    </row>
    <row r="745" spans="1:1" ht="13">
      <c r="A745" s="101"/>
    </row>
    <row r="746" spans="1:1" ht="13">
      <c r="A746" s="101"/>
    </row>
    <row r="747" spans="1:1" ht="13">
      <c r="A747" s="101"/>
    </row>
    <row r="748" spans="1:1" ht="13">
      <c r="A748" s="101"/>
    </row>
    <row r="749" spans="1:1" ht="13">
      <c r="A749" s="101"/>
    </row>
    <row r="750" spans="1:1" ht="13">
      <c r="A750" s="101"/>
    </row>
    <row r="751" spans="1:1" ht="13">
      <c r="A751" s="101"/>
    </row>
    <row r="752" spans="1:1" ht="13">
      <c r="A752" s="101"/>
    </row>
    <row r="753" spans="1:1" ht="13">
      <c r="A753" s="101"/>
    </row>
    <row r="754" spans="1:1" ht="13">
      <c r="A754" s="101"/>
    </row>
    <row r="755" spans="1:1" ht="13">
      <c r="A755" s="101"/>
    </row>
    <row r="756" spans="1:1" ht="13">
      <c r="A756" s="101"/>
    </row>
    <row r="757" spans="1:1" ht="13">
      <c r="A757" s="101"/>
    </row>
    <row r="758" spans="1:1" ht="13">
      <c r="A758" s="101"/>
    </row>
    <row r="759" spans="1:1" ht="13">
      <c r="A759" s="101"/>
    </row>
    <row r="760" spans="1:1" ht="13">
      <c r="A760" s="101"/>
    </row>
    <row r="761" spans="1:1" ht="13">
      <c r="A761" s="101"/>
    </row>
    <row r="762" spans="1:1" ht="13">
      <c r="A762" s="101"/>
    </row>
    <row r="763" spans="1:1" ht="13">
      <c r="A763" s="101"/>
    </row>
    <row r="764" spans="1:1" ht="13">
      <c r="A764" s="101"/>
    </row>
    <row r="765" spans="1:1" ht="13">
      <c r="A765" s="101"/>
    </row>
    <row r="766" spans="1:1" ht="13">
      <c r="A766" s="101"/>
    </row>
    <row r="767" spans="1:1" ht="13">
      <c r="A767" s="101"/>
    </row>
    <row r="768" spans="1:1" ht="13">
      <c r="A768" s="101"/>
    </row>
    <row r="769" spans="1:1" ht="13">
      <c r="A769" s="101"/>
    </row>
    <row r="770" spans="1:1" ht="13">
      <c r="A770" s="101"/>
    </row>
    <row r="771" spans="1:1" ht="13">
      <c r="A771" s="101"/>
    </row>
    <row r="772" spans="1:1" ht="13">
      <c r="A772" s="101"/>
    </row>
    <row r="773" spans="1:1" ht="13">
      <c r="A773" s="101"/>
    </row>
    <row r="774" spans="1:1" ht="13">
      <c r="A774" s="101"/>
    </row>
    <row r="775" spans="1:1" ht="13">
      <c r="A775" s="101"/>
    </row>
    <row r="776" spans="1:1" ht="13">
      <c r="A776" s="101"/>
    </row>
    <row r="777" spans="1:1" ht="13">
      <c r="A777" s="101"/>
    </row>
    <row r="778" spans="1:1" ht="13">
      <c r="A778" s="101"/>
    </row>
    <row r="779" spans="1:1" ht="13">
      <c r="A779" s="101"/>
    </row>
    <row r="780" spans="1:1" ht="13">
      <c r="A780" s="101"/>
    </row>
    <row r="781" spans="1:1" ht="13">
      <c r="A781" s="101"/>
    </row>
    <row r="782" spans="1:1" ht="13">
      <c r="A782" s="101"/>
    </row>
    <row r="783" spans="1:1" ht="13">
      <c r="A783" s="101"/>
    </row>
    <row r="784" spans="1:1" ht="13">
      <c r="A784" s="101"/>
    </row>
    <row r="785" spans="1:1" ht="13">
      <c r="A785" s="101"/>
    </row>
    <row r="786" spans="1:1" ht="13">
      <c r="A786" s="101"/>
    </row>
    <row r="787" spans="1:1" ht="13">
      <c r="A787" s="101"/>
    </row>
    <row r="788" spans="1:1" ht="13">
      <c r="A788" s="101"/>
    </row>
    <row r="789" spans="1:1" ht="13">
      <c r="A789" s="101"/>
    </row>
    <row r="790" spans="1:1" ht="13">
      <c r="A790" s="101"/>
    </row>
    <row r="791" spans="1:1" ht="13">
      <c r="A791" s="101"/>
    </row>
    <row r="792" spans="1:1" ht="13">
      <c r="A792" s="101"/>
    </row>
    <row r="793" spans="1:1" ht="13">
      <c r="A793" s="101"/>
    </row>
    <row r="794" spans="1:1" ht="13">
      <c r="A794" s="101"/>
    </row>
    <row r="795" spans="1:1" ht="13">
      <c r="A795" s="101"/>
    </row>
    <row r="796" spans="1:1" ht="13">
      <c r="A796" s="101"/>
    </row>
    <row r="797" spans="1:1" ht="13">
      <c r="A797" s="101"/>
    </row>
    <row r="798" spans="1:1" ht="13">
      <c r="A798" s="101"/>
    </row>
    <row r="799" spans="1:1" ht="13">
      <c r="A799" s="101"/>
    </row>
    <row r="800" spans="1:1" ht="13">
      <c r="A800" s="101"/>
    </row>
    <row r="801" spans="1:1" ht="13">
      <c r="A801" s="101"/>
    </row>
    <row r="802" spans="1:1" ht="13">
      <c r="A802" s="101"/>
    </row>
    <row r="803" spans="1:1" ht="13">
      <c r="A803" s="101"/>
    </row>
    <row r="804" spans="1:1" ht="13">
      <c r="A804" s="101"/>
    </row>
    <row r="805" spans="1:1" ht="13">
      <c r="A805" s="101"/>
    </row>
    <row r="806" spans="1:1" ht="13">
      <c r="A806" s="101"/>
    </row>
    <row r="807" spans="1:1" ht="13">
      <c r="A807" s="101"/>
    </row>
    <row r="808" spans="1:1" ht="13">
      <c r="A808" s="101"/>
    </row>
    <row r="809" spans="1:1" ht="13">
      <c r="A809" s="101"/>
    </row>
    <row r="810" spans="1:1" ht="13">
      <c r="A810" s="101"/>
    </row>
    <row r="811" spans="1:1" ht="13">
      <c r="A811" s="101"/>
    </row>
    <row r="812" spans="1:1" ht="13">
      <c r="A812" s="101"/>
    </row>
    <row r="813" spans="1:1" ht="13">
      <c r="A813" s="101"/>
    </row>
    <row r="814" spans="1:1" ht="13">
      <c r="A814" s="101"/>
    </row>
    <row r="815" spans="1:1" ht="13">
      <c r="A815" s="101"/>
    </row>
    <row r="816" spans="1:1" ht="13">
      <c r="A816" s="101"/>
    </row>
    <row r="817" spans="1:1" ht="13">
      <c r="A817" s="101"/>
    </row>
    <row r="818" spans="1:1" ht="13">
      <c r="A818" s="101"/>
    </row>
    <row r="819" spans="1:1" ht="13">
      <c r="A819" s="101"/>
    </row>
    <row r="820" spans="1:1" ht="13">
      <c r="A820" s="101"/>
    </row>
    <row r="821" spans="1:1" ht="13">
      <c r="A821" s="101"/>
    </row>
    <row r="822" spans="1:1" ht="13">
      <c r="A822" s="101"/>
    </row>
    <row r="823" spans="1:1" ht="13">
      <c r="A823" s="101"/>
    </row>
    <row r="824" spans="1:1" ht="13">
      <c r="A824" s="101"/>
    </row>
    <row r="825" spans="1:1" ht="13">
      <c r="A825" s="101"/>
    </row>
    <row r="826" spans="1:1" ht="13">
      <c r="A826" s="101"/>
    </row>
    <row r="827" spans="1:1" ht="13">
      <c r="A827" s="101"/>
    </row>
    <row r="828" spans="1:1" ht="13">
      <c r="A828" s="101"/>
    </row>
    <row r="829" spans="1:1" ht="13">
      <c r="A829" s="101"/>
    </row>
    <row r="830" spans="1:1" ht="13">
      <c r="A830" s="101"/>
    </row>
    <row r="831" spans="1:1" ht="13">
      <c r="A831" s="101"/>
    </row>
    <row r="832" spans="1:1" ht="13">
      <c r="A832" s="101"/>
    </row>
    <row r="833" spans="1:1" ht="13">
      <c r="A833" s="101"/>
    </row>
    <row r="834" spans="1:1" ht="13">
      <c r="A834" s="101"/>
    </row>
    <row r="835" spans="1:1" ht="13">
      <c r="A835" s="101"/>
    </row>
    <row r="836" spans="1:1" ht="13">
      <c r="A836" s="101"/>
    </row>
    <row r="837" spans="1:1" ht="13">
      <c r="A837" s="101"/>
    </row>
    <row r="838" spans="1:1" ht="13">
      <c r="A838" s="101"/>
    </row>
    <row r="839" spans="1:1" ht="13">
      <c r="A839" s="101"/>
    </row>
    <row r="840" spans="1:1" ht="13">
      <c r="A840" s="101"/>
    </row>
    <row r="841" spans="1:1" ht="13">
      <c r="A841" s="101"/>
    </row>
    <row r="842" spans="1:1" ht="13">
      <c r="A842" s="101"/>
    </row>
    <row r="843" spans="1:1" ht="13">
      <c r="A843" s="101"/>
    </row>
    <row r="844" spans="1:1" ht="13">
      <c r="A844" s="101"/>
    </row>
    <row r="845" spans="1:1" ht="13">
      <c r="A845" s="101"/>
    </row>
    <row r="846" spans="1:1" ht="13">
      <c r="A846" s="101"/>
    </row>
    <row r="847" spans="1:1" ht="13">
      <c r="A847" s="101"/>
    </row>
    <row r="848" spans="1:1" ht="13">
      <c r="A848" s="101"/>
    </row>
    <row r="849" spans="1:1" ht="13">
      <c r="A849" s="101"/>
    </row>
    <row r="850" spans="1:1" ht="13">
      <c r="A850" s="101"/>
    </row>
    <row r="851" spans="1:1" ht="13">
      <c r="A851" s="101"/>
    </row>
    <row r="852" spans="1:1" ht="13">
      <c r="A852" s="101"/>
    </row>
    <row r="853" spans="1:1" ht="13">
      <c r="A853" s="101"/>
    </row>
    <row r="854" spans="1:1" ht="13">
      <c r="A854" s="101"/>
    </row>
    <row r="855" spans="1:1" ht="13">
      <c r="A855" s="101"/>
    </row>
    <row r="856" spans="1:1" ht="13">
      <c r="A856" s="101"/>
    </row>
    <row r="857" spans="1:1" ht="13">
      <c r="A857" s="101"/>
    </row>
    <row r="858" spans="1:1" ht="13">
      <c r="A858" s="101"/>
    </row>
    <row r="859" spans="1:1" ht="13">
      <c r="A859" s="101"/>
    </row>
    <row r="860" spans="1:1" ht="13">
      <c r="A860" s="101"/>
    </row>
    <row r="861" spans="1:1" ht="13">
      <c r="A861" s="101"/>
    </row>
    <row r="862" spans="1:1" ht="13">
      <c r="A862" s="101"/>
    </row>
    <row r="863" spans="1:1" ht="13">
      <c r="A863" s="101"/>
    </row>
    <row r="864" spans="1:1" ht="13">
      <c r="A864" s="101"/>
    </row>
    <row r="865" spans="1:1" ht="13">
      <c r="A865" s="101"/>
    </row>
    <row r="866" spans="1:1" ht="13">
      <c r="A866" s="101"/>
    </row>
    <row r="867" spans="1:1" ht="13">
      <c r="A867" s="101"/>
    </row>
    <row r="868" spans="1:1" ht="13">
      <c r="A868" s="101"/>
    </row>
    <row r="869" spans="1:1" ht="13">
      <c r="A869" s="101"/>
    </row>
    <row r="870" spans="1:1" ht="13">
      <c r="A870" s="101"/>
    </row>
    <row r="871" spans="1:1" ht="13">
      <c r="A871" s="101"/>
    </row>
    <row r="872" spans="1:1" ht="13">
      <c r="A872" s="101"/>
    </row>
    <row r="873" spans="1:1" ht="13">
      <c r="A873" s="101"/>
    </row>
    <row r="874" spans="1:1" ht="13">
      <c r="A874" s="101"/>
    </row>
    <row r="875" spans="1:1" ht="13">
      <c r="A875" s="101"/>
    </row>
    <row r="876" spans="1:1" ht="13">
      <c r="A876" s="101"/>
    </row>
    <row r="877" spans="1:1" ht="13">
      <c r="A877" s="101"/>
    </row>
    <row r="878" spans="1:1" ht="13">
      <c r="A878" s="101"/>
    </row>
    <row r="879" spans="1:1" ht="13">
      <c r="A879" s="101"/>
    </row>
    <row r="880" spans="1:1" ht="13">
      <c r="A880" s="101"/>
    </row>
    <row r="881" spans="1:1" ht="13">
      <c r="A881" s="101"/>
    </row>
    <row r="882" spans="1:1" ht="13">
      <c r="A882" s="101"/>
    </row>
    <row r="883" spans="1:1" ht="13">
      <c r="A883" s="101"/>
    </row>
    <row r="884" spans="1:1" ht="13">
      <c r="A884" s="101"/>
    </row>
    <row r="885" spans="1:1" ht="13">
      <c r="A885" s="101"/>
    </row>
    <row r="886" spans="1:1" ht="13">
      <c r="A886" s="101"/>
    </row>
    <row r="887" spans="1:1" ht="13">
      <c r="A887" s="101"/>
    </row>
    <row r="888" spans="1:1" ht="13">
      <c r="A888" s="101"/>
    </row>
    <row r="889" spans="1:1" ht="13">
      <c r="A889" s="101"/>
    </row>
    <row r="890" spans="1:1" ht="13">
      <c r="A890" s="101"/>
    </row>
    <row r="891" spans="1:1" ht="13">
      <c r="A891" s="101"/>
    </row>
    <row r="892" spans="1:1" ht="13">
      <c r="A892" s="101"/>
    </row>
    <row r="893" spans="1:1" ht="13">
      <c r="A893" s="101"/>
    </row>
    <row r="894" spans="1:1" ht="13">
      <c r="A894" s="101"/>
    </row>
    <row r="895" spans="1:1" ht="13">
      <c r="A895" s="101"/>
    </row>
    <row r="896" spans="1:1" ht="13">
      <c r="A896" s="101"/>
    </row>
    <row r="897" spans="1:1" ht="13">
      <c r="A897" s="101"/>
    </row>
    <row r="898" spans="1:1" ht="13">
      <c r="A898" s="101"/>
    </row>
    <row r="899" spans="1:1" ht="13">
      <c r="A899" s="101"/>
    </row>
    <row r="900" spans="1:1" ht="13">
      <c r="A900" s="101"/>
    </row>
    <row r="901" spans="1:1" ht="13">
      <c r="A901" s="101"/>
    </row>
    <row r="902" spans="1:1" ht="13">
      <c r="A902" s="101"/>
    </row>
    <row r="903" spans="1:1" ht="13">
      <c r="A903" s="101"/>
    </row>
    <row r="904" spans="1:1" ht="13">
      <c r="A904" s="101"/>
    </row>
    <row r="905" spans="1:1" ht="13">
      <c r="A905" s="101"/>
    </row>
    <row r="906" spans="1:1" ht="13">
      <c r="A906" s="101"/>
    </row>
    <row r="907" spans="1:1" ht="13">
      <c r="A907" s="101"/>
    </row>
    <row r="908" spans="1:1" ht="13">
      <c r="A908" s="101"/>
    </row>
    <row r="909" spans="1:1" ht="13">
      <c r="A909" s="101"/>
    </row>
    <row r="910" spans="1:1" ht="13">
      <c r="A910" s="101"/>
    </row>
    <row r="911" spans="1:1" ht="13">
      <c r="A911" s="101"/>
    </row>
    <row r="912" spans="1:1" ht="13">
      <c r="A912" s="101"/>
    </row>
    <row r="913" spans="1:1" ht="13">
      <c r="A913" s="101"/>
    </row>
    <row r="914" spans="1:1" ht="13">
      <c r="A914" s="101"/>
    </row>
    <row r="915" spans="1:1" ht="13">
      <c r="A915" s="101"/>
    </row>
    <row r="916" spans="1:1" ht="13">
      <c r="A916" s="101"/>
    </row>
    <row r="917" spans="1:1" ht="13">
      <c r="A917" s="101"/>
    </row>
    <row r="918" spans="1:1" ht="13">
      <c r="A918" s="101"/>
    </row>
    <row r="919" spans="1:1" ht="13">
      <c r="A919" s="101"/>
    </row>
    <row r="920" spans="1:1" ht="13">
      <c r="A920" s="101"/>
    </row>
    <row r="921" spans="1:1" ht="13">
      <c r="A921" s="101"/>
    </row>
    <row r="922" spans="1:1" ht="13">
      <c r="A922" s="101"/>
    </row>
    <row r="923" spans="1:1" ht="13">
      <c r="A923" s="101"/>
    </row>
    <row r="924" spans="1:1" ht="13">
      <c r="A924" s="101"/>
    </row>
    <row r="925" spans="1:1" ht="13">
      <c r="A925" s="101"/>
    </row>
    <row r="926" spans="1:1" ht="13">
      <c r="A926" s="101"/>
    </row>
    <row r="927" spans="1:1" ht="13">
      <c r="A927" s="101"/>
    </row>
    <row r="928" spans="1:1" ht="13">
      <c r="A928" s="101"/>
    </row>
    <row r="929" spans="1:1" ht="13">
      <c r="A929" s="101"/>
    </row>
    <row r="930" spans="1:1" ht="13">
      <c r="A930" s="101"/>
    </row>
    <row r="931" spans="1:1" ht="13">
      <c r="A931" s="101"/>
    </row>
    <row r="932" spans="1:1" ht="13">
      <c r="A932" s="101"/>
    </row>
    <row r="933" spans="1:1" ht="13">
      <c r="A933" s="101"/>
    </row>
    <row r="934" spans="1:1" ht="13">
      <c r="A934" s="101"/>
    </row>
    <row r="935" spans="1:1" ht="13">
      <c r="A935" s="101"/>
    </row>
    <row r="936" spans="1:1" ht="13">
      <c r="A936" s="101"/>
    </row>
    <row r="937" spans="1:1" ht="13">
      <c r="A937" s="101"/>
    </row>
    <row r="938" spans="1:1" ht="13">
      <c r="A938" s="101"/>
    </row>
    <row r="939" spans="1:1" ht="13">
      <c r="A939" s="101"/>
    </row>
    <row r="940" spans="1:1" ht="13">
      <c r="A940" s="101"/>
    </row>
    <row r="941" spans="1:1" ht="13">
      <c r="A941" s="101"/>
    </row>
    <row r="942" spans="1:1" ht="13">
      <c r="A942" s="101"/>
    </row>
    <row r="943" spans="1:1" ht="13">
      <c r="A943" s="101"/>
    </row>
    <row r="944" spans="1:1" ht="13">
      <c r="A944" s="101"/>
    </row>
    <row r="945" spans="1:1" ht="13">
      <c r="A945" s="101"/>
    </row>
    <row r="946" spans="1:1" ht="13">
      <c r="A946" s="101"/>
    </row>
    <row r="947" spans="1:1" ht="13">
      <c r="A947" s="101"/>
    </row>
    <row r="948" spans="1:1" ht="13">
      <c r="A948" s="101"/>
    </row>
    <row r="949" spans="1:1" ht="13">
      <c r="A949" s="101"/>
    </row>
    <row r="950" spans="1:1" ht="13">
      <c r="A950" s="101"/>
    </row>
    <row r="951" spans="1:1" ht="13">
      <c r="A951" s="101"/>
    </row>
    <row r="952" spans="1:1" ht="13">
      <c r="A952" s="101"/>
    </row>
    <row r="953" spans="1:1" ht="13">
      <c r="A953" s="101"/>
    </row>
    <row r="954" spans="1:1" ht="13">
      <c r="A954" s="101"/>
    </row>
    <row r="955" spans="1:1" ht="13">
      <c r="A955" s="101"/>
    </row>
    <row r="956" spans="1:1" ht="13">
      <c r="A956" s="101"/>
    </row>
    <row r="957" spans="1:1" ht="13">
      <c r="A957" s="101"/>
    </row>
    <row r="958" spans="1:1" ht="13">
      <c r="A958" s="101"/>
    </row>
    <row r="959" spans="1:1" ht="13">
      <c r="A959" s="101"/>
    </row>
    <row r="960" spans="1:1" ht="13">
      <c r="A960" s="101"/>
    </row>
    <row r="961" spans="1:1" ht="13">
      <c r="A961" s="101"/>
    </row>
    <row r="962" spans="1:1" ht="13">
      <c r="A962" s="101"/>
    </row>
    <row r="963" spans="1:1" ht="13">
      <c r="A963" s="101"/>
    </row>
    <row r="964" spans="1:1" ht="13">
      <c r="A964" s="101"/>
    </row>
    <row r="965" spans="1:1" ht="13">
      <c r="A965" s="101"/>
    </row>
    <row r="966" spans="1:1" ht="13">
      <c r="A966" s="101"/>
    </row>
    <row r="967" spans="1:1" ht="13">
      <c r="A967" s="101"/>
    </row>
    <row r="968" spans="1:1" ht="13">
      <c r="A968" s="101"/>
    </row>
    <row r="969" spans="1:1" ht="13">
      <c r="A969" s="101"/>
    </row>
    <row r="970" spans="1:1" ht="13">
      <c r="A970" s="101"/>
    </row>
    <row r="971" spans="1:1" ht="13">
      <c r="A971" s="101"/>
    </row>
    <row r="972" spans="1:1" ht="13">
      <c r="A972" s="101"/>
    </row>
    <row r="973" spans="1:1" ht="13">
      <c r="A973" s="101"/>
    </row>
    <row r="974" spans="1:1" ht="13">
      <c r="A974" s="101"/>
    </row>
    <row r="975" spans="1:1" ht="13">
      <c r="A975" s="101"/>
    </row>
    <row r="976" spans="1:1" ht="13">
      <c r="A976" s="101"/>
    </row>
    <row r="977" spans="1:1" ht="13">
      <c r="A977" s="101"/>
    </row>
    <row r="978" spans="1:1" ht="13">
      <c r="A978" s="101"/>
    </row>
    <row r="979" spans="1:1" ht="13">
      <c r="A979" s="101"/>
    </row>
    <row r="980" spans="1:1" ht="13">
      <c r="A980" s="101"/>
    </row>
    <row r="981" spans="1:1" ht="13">
      <c r="A981" s="101"/>
    </row>
    <row r="982" spans="1:1" ht="13">
      <c r="A982" s="101"/>
    </row>
    <row r="983" spans="1:1" ht="13">
      <c r="A983" s="101"/>
    </row>
    <row r="984" spans="1:1" ht="13">
      <c r="A984" s="101"/>
    </row>
    <row r="985" spans="1:1" ht="13">
      <c r="A985" s="101"/>
    </row>
    <row r="986" spans="1:1" ht="13">
      <c r="A986" s="101"/>
    </row>
    <row r="987" spans="1:1" ht="13">
      <c r="A987" s="101"/>
    </row>
    <row r="988" spans="1:1" ht="13">
      <c r="A988" s="101"/>
    </row>
    <row r="989" spans="1:1" ht="13">
      <c r="A989" s="101"/>
    </row>
    <row r="990" spans="1:1" ht="13">
      <c r="A990" s="101"/>
    </row>
    <row r="991" spans="1:1" ht="13">
      <c r="A991" s="101"/>
    </row>
    <row r="992" spans="1:1" ht="13">
      <c r="A992" s="101"/>
    </row>
    <row r="993" spans="1:1" ht="13">
      <c r="A993" s="101"/>
    </row>
    <row r="994" spans="1:1" ht="13">
      <c r="A994" s="101"/>
    </row>
    <row r="995" spans="1:1" ht="13">
      <c r="A995" s="101"/>
    </row>
    <row r="996" spans="1:1" ht="13">
      <c r="A996" s="101"/>
    </row>
    <row r="997" spans="1:1" ht="13">
      <c r="A997" s="101"/>
    </row>
    <row r="998" spans="1:1" ht="13">
      <c r="A998" s="101"/>
    </row>
    <row r="999" spans="1:1" ht="13">
      <c r="A999" s="101"/>
    </row>
    <row r="1000" spans="1:1" ht="13">
      <c r="A1000" s="101"/>
    </row>
  </sheetData>
  <conditionalFormatting sqref="A1:A1000">
    <cfRule type="expression" dxfId="0" priority="1">
      <formula>AND(NOT(ISBLANK(A:A)), COUNTIF(INDIRECT("Словарь ключевых действий!C:C"), "=" &amp;A:A ) &gt;= 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H39"/>
  <sheetViews>
    <sheetView workbookViewId="0"/>
  </sheetViews>
  <sheetFormatPr baseColWidth="10" defaultColWidth="14.5" defaultRowHeight="15.75" customHeight="1"/>
  <sheetData>
    <row r="1" spans="1:8" ht="15.75" customHeight="1">
      <c r="A1" s="7" t="s">
        <v>61</v>
      </c>
      <c r="B1" s="7" t="s">
        <v>1057</v>
      </c>
      <c r="C1" s="7" t="s">
        <v>2194</v>
      </c>
      <c r="D1" s="7" t="s">
        <v>2195</v>
      </c>
      <c r="E1" s="7" t="s">
        <v>2196</v>
      </c>
      <c r="F1" s="7" t="s">
        <v>2197</v>
      </c>
      <c r="G1" s="7" t="s">
        <v>2198</v>
      </c>
      <c r="H1" s="7" t="s">
        <v>2199</v>
      </c>
    </row>
    <row r="2" spans="1:8" ht="15.75" customHeight="1">
      <c r="A2" s="7" t="s">
        <v>764</v>
      </c>
      <c r="B2" s="7">
        <v>17</v>
      </c>
      <c r="C2" s="7">
        <v>2</v>
      </c>
      <c r="D2" s="7">
        <v>5</v>
      </c>
      <c r="E2" s="7">
        <v>10</v>
      </c>
      <c r="F2" s="7">
        <v>0.11764705882352899</v>
      </c>
      <c r="G2" s="7">
        <v>0.29411764705882298</v>
      </c>
      <c r="H2" s="7">
        <v>0.58823529411764697</v>
      </c>
    </row>
    <row r="3" spans="1:8" ht="15.75" customHeight="1">
      <c r="A3" s="7" t="s">
        <v>765</v>
      </c>
      <c r="B3" s="7">
        <v>58</v>
      </c>
      <c r="C3" s="7">
        <v>9</v>
      </c>
      <c r="D3" s="7">
        <v>17</v>
      </c>
      <c r="E3" s="7">
        <v>32</v>
      </c>
      <c r="F3" s="7">
        <v>0.15517241379310301</v>
      </c>
      <c r="G3" s="7">
        <v>0.29310344827586199</v>
      </c>
      <c r="H3" s="7">
        <v>0.55172413793103403</v>
      </c>
    </row>
    <row r="4" spans="1:8" ht="15.75" customHeight="1">
      <c r="A4" s="7" t="s">
        <v>767</v>
      </c>
      <c r="B4" s="7">
        <v>35</v>
      </c>
      <c r="C4" s="7">
        <v>16</v>
      </c>
      <c r="D4" s="7">
        <v>0</v>
      </c>
      <c r="E4" s="7">
        <v>19</v>
      </c>
      <c r="F4" s="7">
        <v>0.45714285714285702</v>
      </c>
      <c r="G4" s="7">
        <v>0</v>
      </c>
      <c r="H4" s="7">
        <v>0.54285714285714204</v>
      </c>
    </row>
    <row r="5" spans="1:8" ht="15.75" customHeight="1">
      <c r="A5" s="7" t="s">
        <v>769</v>
      </c>
      <c r="B5" s="7">
        <v>56</v>
      </c>
      <c r="C5" s="7">
        <v>30</v>
      </c>
      <c r="D5" s="7">
        <v>0</v>
      </c>
      <c r="E5" s="7">
        <v>26</v>
      </c>
      <c r="F5" s="7">
        <v>0.53571428571428503</v>
      </c>
      <c r="G5" s="7">
        <v>0</v>
      </c>
      <c r="H5" s="7">
        <v>0.46428571428571402</v>
      </c>
    </row>
    <row r="6" spans="1:8" ht="15.75" customHeight="1">
      <c r="A6" s="7" t="s">
        <v>771</v>
      </c>
      <c r="B6" s="7">
        <v>38</v>
      </c>
      <c r="C6" s="7">
        <v>26</v>
      </c>
      <c r="D6" s="7">
        <v>0</v>
      </c>
      <c r="E6" s="7">
        <v>12</v>
      </c>
      <c r="F6" s="7">
        <v>0.68421052631578905</v>
      </c>
      <c r="G6" s="7">
        <v>0</v>
      </c>
      <c r="H6" s="7">
        <v>0.31578947368421001</v>
      </c>
    </row>
    <row r="7" spans="1:8" ht="15.75" customHeight="1">
      <c r="A7" s="7" t="s">
        <v>773</v>
      </c>
      <c r="B7" s="7">
        <v>66</v>
      </c>
      <c r="C7" s="7">
        <v>36</v>
      </c>
      <c r="D7" s="7">
        <v>16</v>
      </c>
      <c r="E7" s="7">
        <v>14</v>
      </c>
      <c r="F7" s="7">
        <v>0.54545454545454497</v>
      </c>
      <c r="G7" s="7">
        <v>0.24242424242424199</v>
      </c>
      <c r="H7" s="7">
        <v>0.21212121212121199</v>
      </c>
    </row>
    <row r="8" spans="1:8" ht="15.75" customHeight="1">
      <c r="A8" s="7" t="s">
        <v>777</v>
      </c>
      <c r="B8" s="7">
        <v>23</v>
      </c>
      <c r="C8" s="7">
        <v>15</v>
      </c>
      <c r="D8" s="7">
        <v>8</v>
      </c>
      <c r="E8" s="7">
        <v>0</v>
      </c>
      <c r="F8" s="7">
        <v>0.65217391304347805</v>
      </c>
      <c r="G8" s="7">
        <v>0.34782608695652101</v>
      </c>
      <c r="H8" s="7">
        <v>0</v>
      </c>
    </row>
    <row r="9" spans="1:8" ht="15.75" customHeight="1">
      <c r="A9" s="7" t="s">
        <v>779</v>
      </c>
      <c r="B9" s="7">
        <v>17</v>
      </c>
      <c r="C9" s="7">
        <v>14</v>
      </c>
      <c r="D9" s="7">
        <v>1</v>
      </c>
      <c r="E9" s="7">
        <v>2</v>
      </c>
      <c r="F9" s="7">
        <v>0.82352941176470495</v>
      </c>
      <c r="G9" s="7">
        <v>5.8823529411764698E-2</v>
      </c>
      <c r="H9" s="7">
        <v>0.11764705882352899</v>
      </c>
    </row>
    <row r="10" spans="1:8" ht="15.75" customHeight="1">
      <c r="A10" s="7" t="s">
        <v>781</v>
      </c>
      <c r="B10" s="7">
        <v>4</v>
      </c>
      <c r="C10" s="7">
        <v>4</v>
      </c>
      <c r="D10" s="7">
        <v>0</v>
      </c>
      <c r="E10" s="7">
        <v>0</v>
      </c>
      <c r="F10" s="7">
        <v>1</v>
      </c>
      <c r="G10" s="7">
        <v>0</v>
      </c>
      <c r="H10" s="7">
        <v>0</v>
      </c>
    </row>
    <row r="11" spans="1:8" ht="15.75" customHeight="1">
      <c r="A11" s="7" t="s">
        <v>783</v>
      </c>
      <c r="B11" s="7">
        <v>13</v>
      </c>
      <c r="C11" s="7">
        <v>12</v>
      </c>
      <c r="D11" s="7">
        <v>1</v>
      </c>
      <c r="E11" s="7">
        <v>0</v>
      </c>
      <c r="F11" s="7">
        <v>0.92307692307692302</v>
      </c>
      <c r="G11" s="7">
        <v>7.69230769230769E-2</v>
      </c>
      <c r="H11" s="7">
        <v>0</v>
      </c>
    </row>
    <row r="12" spans="1:8" ht="15.75" customHeight="1">
      <c r="A12" s="7" t="s">
        <v>785</v>
      </c>
      <c r="B12" s="7">
        <v>9</v>
      </c>
      <c r="C12" s="7">
        <v>4</v>
      </c>
      <c r="D12" s="7">
        <v>1</v>
      </c>
      <c r="E12" s="7">
        <v>4</v>
      </c>
      <c r="F12" s="7">
        <v>0.44444444444444398</v>
      </c>
      <c r="G12" s="7">
        <v>0.11111111111111099</v>
      </c>
      <c r="H12" s="7">
        <v>0.44444444444444398</v>
      </c>
    </row>
    <row r="13" spans="1:8" ht="15.75" customHeight="1">
      <c r="A13" s="7" t="s">
        <v>787</v>
      </c>
      <c r="B13" s="7">
        <v>28</v>
      </c>
      <c r="C13" s="7">
        <v>24</v>
      </c>
      <c r="D13" s="7">
        <v>0</v>
      </c>
      <c r="E13" s="7">
        <v>4</v>
      </c>
      <c r="F13" s="7">
        <v>0.85714285714285698</v>
      </c>
      <c r="G13" s="7">
        <v>0</v>
      </c>
      <c r="H13" s="7">
        <v>0.14285714285714199</v>
      </c>
    </row>
    <row r="14" spans="1:8" ht="15.75" customHeight="1">
      <c r="A14" s="7" t="s">
        <v>789</v>
      </c>
      <c r="B14" s="7">
        <v>6</v>
      </c>
      <c r="C14" s="7">
        <v>0</v>
      </c>
      <c r="D14" s="7">
        <v>6</v>
      </c>
      <c r="E14" s="7">
        <v>0</v>
      </c>
      <c r="F14" s="7">
        <v>0</v>
      </c>
      <c r="G14" s="7">
        <v>1</v>
      </c>
      <c r="H14" s="7">
        <v>0</v>
      </c>
    </row>
    <row r="15" spans="1:8" ht="15.75" customHeight="1">
      <c r="A15" s="7" t="s">
        <v>791</v>
      </c>
      <c r="B15" s="7">
        <v>15</v>
      </c>
      <c r="C15" s="7">
        <v>14</v>
      </c>
      <c r="D15" s="7">
        <v>1</v>
      </c>
      <c r="E15" s="7">
        <v>0</v>
      </c>
      <c r="F15" s="7">
        <v>0.93333333333333302</v>
      </c>
      <c r="G15" s="7">
        <v>6.6666666666666596E-2</v>
      </c>
      <c r="H15" s="7">
        <v>0</v>
      </c>
    </row>
    <row r="16" spans="1:8" ht="15.75" customHeight="1">
      <c r="A16" s="7" t="s">
        <v>794</v>
      </c>
      <c r="B16" s="7">
        <v>18</v>
      </c>
      <c r="C16" s="7">
        <v>8</v>
      </c>
      <c r="D16" s="7">
        <v>0</v>
      </c>
      <c r="E16" s="7">
        <v>10</v>
      </c>
      <c r="F16" s="7">
        <v>0.44444444444444398</v>
      </c>
      <c r="G16" s="7">
        <v>0</v>
      </c>
      <c r="H16" s="7">
        <v>0.55555555555555503</v>
      </c>
    </row>
    <row r="17" spans="1:8" ht="15.75" customHeight="1">
      <c r="A17" s="7" t="s">
        <v>796</v>
      </c>
      <c r="B17" s="7">
        <v>4</v>
      </c>
      <c r="C17" s="7">
        <v>0</v>
      </c>
      <c r="D17" s="7">
        <v>4</v>
      </c>
      <c r="E17" s="7">
        <v>0</v>
      </c>
      <c r="F17" s="7">
        <v>0</v>
      </c>
      <c r="G17" s="7">
        <v>1</v>
      </c>
      <c r="H17" s="7">
        <v>0</v>
      </c>
    </row>
    <row r="18" spans="1:8" ht="15.75" customHeight="1">
      <c r="A18" s="7" t="s">
        <v>828</v>
      </c>
      <c r="B18" s="7">
        <v>22</v>
      </c>
      <c r="C18" s="7">
        <v>0</v>
      </c>
      <c r="D18" s="7">
        <v>21</v>
      </c>
      <c r="E18" s="7">
        <v>1</v>
      </c>
      <c r="F18" s="7">
        <v>0</v>
      </c>
      <c r="G18" s="7">
        <v>0.95454545454545403</v>
      </c>
      <c r="H18" s="7">
        <v>4.54545454545454E-2</v>
      </c>
    </row>
    <row r="19" spans="1:8" ht="15.75" customHeight="1">
      <c r="A19" s="7" t="s">
        <v>830</v>
      </c>
      <c r="B19" s="7">
        <v>32</v>
      </c>
      <c r="C19" s="7">
        <v>2</v>
      </c>
      <c r="D19" s="7">
        <v>22</v>
      </c>
      <c r="E19" s="7">
        <v>8</v>
      </c>
      <c r="F19" s="7">
        <v>6.25E-2</v>
      </c>
      <c r="G19" s="7">
        <v>0.6875</v>
      </c>
      <c r="H19" s="7">
        <v>0.25</v>
      </c>
    </row>
    <row r="20" spans="1:8" ht="15.75" customHeight="1">
      <c r="A20" s="7" t="s">
        <v>832</v>
      </c>
      <c r="B20" s="7">
        <v>40</v>
      </c>
      <c r="C20" s="7">
        <v>2</v>
      </c>
      <c r="D20" s="7">
        <v>11</v>
      </c>
      <c r="E20" s="7">
        <v>27</v>
      </c>
      <c r="F20" s="7">
        <v>0.05</v>
      </c>
      <c r="G20" s="7">
        <v>0.27500000000000002</v>
      </c>
      <c r="H20" s="7">
        <v>0.67500000000000004</v>
      </c>
    </row>
    <row r="21" spans="1:8" ht="15.75" customHeight="1">
      <c r="A21" s="7" t="s">
        <v>833</v>
      </c>
      <c r="B21" s="7">
        <v>11</v>
      </c>
      <c r="C21" s="7">
        <v>0</v>
      </c>
      <c r="D21" s="7">
        <v>0</v>
      </c>
      <c r="E21" s="7">
        <v>11</v>
      </c>
      <c r="F21" s="7">
        <v>0</v>
      </c>
      <c r="G21" s="7">
        <v>0</v>
      </c>
      <c r="H21" s="7">
        <v>1</v>
      </c>
    </row>
    <row r="22" spans="1:8" ht="15.75" customHeight="1">
      <c r="A22" s="7" t="s">
        <v>834</v>
      </c>
      <c r="B22" s="7">
        <v>7</v>
      </c>
      <c r="C22" s="7">
        <v>0</v>
      </c>
      <c r="D22" s="7">
        <v>6</v>
      </c>
      <c r="E22" s="7">
        <v>1</v>
      </c>
      <c r="F22" s="7">
        <v>0</v>
      </c>
      <c r="G22" s="7">
        <v>0.85714285714285698</v>
      </c>
      <c r="H22" s="7">
        <v>0.14285714285714199</v>
      </c>
    </row>
    <row r="23" spans="1:8" ht="13">
      <c r="A23" s="7" t="s">
        <v>835</v>
      </c>
      <c r="B23" s="7">
        <v>16</v>
      </c>
      <c r="C23" s="7">
        <v>0</v>
      </c>
      <c r="D23" s="7">
        <v>3</v>
      </c>
      <c r="E23" s="7">
        <v>13</v>
      </c>
      <c r="F23" s="7">
        <v>0</v>
      </c>
      <c r="G23" s="7">
        <v>0.1875</v>
      </c>
      <c r="H23" s="7">
        <v>0.8125</v>
      </c>
    </row>
    <row r="24" spans="1:8" ht="13">
      <c r="A24" s="7" t="s">
        <v>837</v>
      </c>
      <c r="B24" s="7">
        <v>11</v>
      </c>
      <c r="C24" s="7">
        <v>0</v>
      </c>
      <c r="D24" s="7">
        <v>3</v>
      </c>
      <c r="E24" s="7">
        <v>8</v>
      </c>
      <c r="F24" s="7">
        <v>0</v>
      </c>
      <c r="G24" s="7">
        <v>0.27272727272727199</v>
      </c>
      <c r="H24" s="7">
        <v>0.72727272727272696</v>
      </c>
    </row>
    <row r="25" spans="1:8" ht="13">
      <c r="A25" s="7" t="s">
        <v>839</v>
      </c>
      <c r="B25" s="7">
        <v>27</v>
      </c>
      <c r="C25" s="7">
        <v>0</v>
      </c>
      <c r="D25" s="7">
        <v>12</v>
      </c>
      <c r="E25" s="7">
        <v>15</v>
      </c>
      <c r="F25" s="7">
        <v>0</v>
      </c>
      <c r="G25" s="7">
        <v>0.44444444444444398</v>
      </c>
      <c r="H25" s="7">
        <v>0.55555555555555503</v>
      </c>
    </row>
    <row r="26" spans="1:8" ht="13">
      <c r="A26" s="7" t="s">
        <v>841</v>
      </c>
      <c r="B26" s="7">
        <v>19</v>
      </c>
      <c r="C26" s="7">
        <v>6</v>
      </c>
      <c r="D26" s="7">
        <v>2</v>
      </c>
      <c r="E26" s="7">
        <v>11</v>
      </c>
      <c r="F26" s="7">
        <v>0.31578947368421001</v>
      </c>
      <c r="G26" s="7">
        <v>0.105263157894736</v>
      </c>
      <c r="H26" s="7">
        <v>0.57894736842105199</v>
      </c>
    </row>
    <row r="27" spans="1:8" ht="13">
      <c r="A27" s="7" t="s">
        <v>843</v>
      </c>
      <c r="B27" s="7">
        <v>7</v>
      </c>
      <c r="C27" s="7">
        <v>3</v>
      </c>
      <c r="D27" s="7">
        <v>3</v>
      </c>
      <c r="E27" s="7">
        <v>1</v>
      </c>
      <c r="F27" s="7">
        <v>0.42857142857142799</v>
      </c>
      <c r="G27" s="7">
        <v>0.42857142857142799</v>
      </c>
      <c r="H27" s="7">
        <v>0.14285714285714199</v>
      </c>
    </row>
    <row r="28" spans="1:8" ht="13">
      <c r="A28" s="7" t="s">
        <v>845</v>
      </c>
      <c r="B28" s="7">
        <v>14</v>
      </c>
      <c r="C28" s="7">
        <v>6</v>
      </c>
      <c r="D28" s="7">
        <v>0</v>
      </c>
      <c r="E28" s="7">
        <v>8</v>
      </c>
      <c r="F28" s="7">
        <v>0.42857142857142799</v>
      </c>
      <c r="G28" s="7">
        <v>0</v>
      </c>
      <c r="H28" s="7">
        <v>0.57142857142857095</v>
      </c>
    </row>
    <row r="29" spans="1:8" ht="13">
      <c r="A29" s="7" t="s">
        <v>847</v>
      </c>
      <c r="B29" s="7">
        <v>8</v>
      </c>
      <c r="C29" s="7">
        <v>1</v>
      </c>
      <c r="D29" s="7">
        <v>0</v>
      </c>
      <c r="E29" s="7">
        <v>7</v>
      </c>
      <c r="F29" s="7">
        <v>0.125</v>
      </c>
      <c r="G29" s="7">
        <v>0</v>
      </c>
      <c r="H29" s="7">
        <v>0.875</v>
      </c>
    </row>
    <row r="30" spans="1:8" ht="13">
      <c r="A30" s="7" t="s">
        <v>849</v>
      </c>
      <c r="B30" s="7">
        <v>11</v>
      </c>
      <c r="C30" s="7">
        <v>0</v>
      </c>
      <c r="D30" s="7">
        <v>7</v>
      </c>
      <c r="E30" s="7">
        <v>4</v>
      </c>
      <c r="F30" s="7">
        <v>0</v>
      </c>
      <c r="G30" s="7">
        <v>0.63636363636363602</v>
      </c>
      <c r="H30" s="7">
        <v>0.36363636363636298</v>
      </c>
    </row>
    <row r="31" spans="1:8" ht="13">
      <c r="A31" s="7" t="s">
        <v>852</v>
      </c>
      <c r="B31" s="7">
        <v>5</v>
      </c>
      <c r="C31" s="7">
        <v>3</v>
      </c>
      <c r="D31" s="7">
        <v>0</v>
      </c>
      <c r="E31" s="7">
        <v>2</v>
      </c>
      <c r="F31" s="7">
        <v>0.6</v>
      </c>
      <c r="G31" s="7">
        <v>0</v>
      </c>
      <c r="H31" s="7">
        <v>0.4</v>
      </c>
    </row>
    <row r="32" spans="1:8" ht="13">
      <c r="A32" s="7" t="s">
        <v>855</v>
      </c>
      <c r="B32" s="7">
        <v>11</v>
      </c>
      <c r="C32" s="7">
        <v>4</v>
      </c>
      <c r="D32" s="7">
        <v>2</v>
      </c>
      <c r="E32" s="7">
        <v>5</v>
      </c>
      <c r="F32" s="7">
        <v>0.36363636363636298</v>
      </c>
      <c r="G32" s="7">
        <v>0.18181818181818099</v>
      </c>
      <c r="H32" s="7">
        <v>0.45454545454545398</v>
      </c>
    </row>
    <row r="33" spans="1:8" ht="13">
      <c r="A33" s="7" t="s">
        <v>857</v>
      </c>
      <c r="B33" s="7">
        <v>10</v>
      </c>
      <c r="C33" s="7">
        <v>1</v>
      </c>
      <c r="D33" s="7">
        <v>0</v>
      </c>
      <c r="E33" s="7">
        <v>9</v>
      </c>
      <c r="F33" s="7">
        <v>0.1</v>
      </c>
      <c r="G33" s="7">
        <v>0</v>
      </c>
      <c r="H33" s="7">
        <v>0.9</v>
      </c>
    </row>
    <row r="34" spans="1:8" ht="13">
      <c r="A34" s="7" t="s">
        <v>859</v>
      </c>
      <c r="B34" s="7">
        <v>18</v>
      </c>
      <c r="C34" s="7">
        <v>8</v>
      </c>
      <c r="D34" s="7">
        <v>0</v>
      </c>
      <c r="E34" s="7">
        <v>10</v>
      </c>
      <c r="F34" s="7">
        <v>0.44444444444444398</v>
      </c>
      <c r="G34" s="7">
        <v>0</v>
      </c>
      <c r="H34" s="7">
        <v>0.55555555555555503</v>
      </c>
    </row>
    <row r="35" spans="1:8" ht="13">
      <c r="A35" s="7" t="s">
        <v>861</v>
      </c>
      <c r="B35" s="7">
        <v>17</v>
      </c>
      <c r="C35" s="7">
        <v>0</v>
      </c>
      <c r="D35" s="7">
        <v>5</v>
      </c>
      <c r="E35" s="7">
        <v>12</v>
      </c>
      <c r="F35" s="7">
        <v>0</v>
      </c>
      <c r="G35" s="7">
        <v>0.29411764705882298</v>
      </c>
      <c r="H35" s="7">
        <v>0.70588235294117596</v>
      </c>
    </row>
    <row r="36" spans="1:8" ht="13">
      <c r="A36" s="7" t="s">
        <v>863</v>
      </c>
      <c r="B36" s="7">
        <v>28</v>
      </c>
      <c r="C36" s="7">
        <v>9</v>
      </c>
      <c r="D36" s="7">
        <v>16</v>
      </c>
      <c r="E36" s="7">
        <v>3</v>
      </c>
      <c r="F36" s="7">
        <v>0.32142857142857101</v>
      </c>
      <c r="G36" s="7">
        <v>0.57142857142857095</v>
      </c>
      <c r="H36" s="7">
        <v>0.107142857142857</v>
      </c>
    </row>
    <row r="37" spans="1:8" ht="13">
      <c r="A37" s="7" t="s">
        <v>866</v>
      </c>
      <c r="B37" s="7">
        <v>33</v>
      </c>
      <c r="C37" s="7">
        <v>13</v>
      </c>
      <c r="D37" s="7">
        <v>0</v>
      </c>
      <c r="E37" s="7">
        <v>20</v>
      </c>
      <c r="F37" s="7">
        <v>0.39393939393939298</v>
      </c>
      <c r="G37" s="7">
        <v>0</v>
      </c>
      <c r="H37" s="7">
        <v>0.60606060606060597</v>
      </c>
    </row>
    <row r="38" spans="1:8" ht="13">
      <c r="A38" s="7" t="s">
        <v>868</v>
      </c>
      <c r="B38" s="7">
        <v>30</v>
      </c>
      <c r="C38" s="7">
        <v>21</v>
      </c>
      <c r="D38" s="7">
        <v>0</v>
      </c>
      <c r="E38" s="7">
        <v>9</v>
      </c>
      <c r="F38" s="7">
        <v>0.7</v>
      </c>
      <c r="G38" s="7">
        <v>0</v>
      </c>
      <c r="H38" s="7">
        <v>0.3</v>
      </c>
    </row>
    <row r="39" spans="1:8" ht="13">
      <c r="B39" s="101">
        <f>SUM(B2:B38)</f>
        <v>784</v>
      </c>
      <c r="E39" s="101">
        <f>SUM(E2:E38)</f>
        <v>318</v>
      </c>
      <c r="H39" s="101">
        <f>E39/B39</f>
        <v>0.40561224489795916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9999"/>
    <outlinePr summaryBelow="0" summaryRight="0"/>
  </sheetPr>
  <dimension ref="A1:Y1005"/>
  <sheetViews>
    <sheetView workbookViewId="0"/>
  </sheetViews>
  <sheetFormatPr baseColWidth="10" defaultColWidth="14.5" defaultRowHeight="15.75" customHeight="1"/>
  <cols>
    <col min="1" max="1" width="27.1640625" customWidth="1"/>
    <col min="2" max="2" width="116.5" customWidth="1"/>
  </cols>
  <sheetData>
    <row r="1" spans="1:25" ht="15.75" customHeight="1">
      <c r="A1" s="282" t="s">
        <v>268</v>
      </c>
      <c r="B1" s="4" t="s">
        <v>2203</v>
      </c>
      <c r="C1" s="3"/>
      <c r="D1" s="3"/>
      <c r="E1" s="3"/>
      <c r="F1" s="3"/>
      <c r="G1" s="3"/>
      <c r="H1" s="3"/>
      <c r="I1" s="3"/>
      <c r="J1" s="3"/>
      <c r="K1" s="3"/>
      <c r="L1" s="3"/>
      <c r="M1" s="3"/>
      <c r="N1" s="3"/>
      <c r="O1" s="3"/>
      <c r="P1" s="3"/>
      <c r="Q1" s="3"/>
      <c r="R1" s="3"/>
      <c r="S1" s="3"/>
      <c r="T1" s="3"/>
      <c r="U1" s="3"/>
      <c r="V1" s="3"/>
      <c r="W1" s="3"/>
      <c r="X1" s="3"/>
      <c r="Y1" s="3"/>
    </row>
    <row r="2" spans="1:25" ht="15.75" customHeight="1">
      <c r="A2" s="283" t="s">
        <v>6</v>
      </c>
      <c r="B2" s="4" t="s">
        <v>2204</v>
      </c>
      <c r="C2" s="3"/>
      <c r="D2" s="3"/>
      <c r="E2" s="3"/>
      <c r="F2" s="3"/>
      <c r="G2" s="3"/>
      <c r="H2" s="3"/>
      <c r="I2" s="3"/>
      <c r="J2" s="3"/>
      <c r="K2" s="3"/>
      <c r="L2" s="3"/>
      <c r="M2" s="3"/>
      <c r="N2" s="3"/>
      <c r="O2" s="3"/>
      <c r="P2" s="3"/>
      <c r="Q2" s="3"/>
      <c r="R2" s="3"/>
      <c r="S2" s="3"/>
      <c r="T2" s="3"/>
      <c r="U2" s="3"/>
      <c r="V2" s="3"/>
      <c r="W2" s="3"/>
      <c r="X2" s="3"/>
      <c r="Y2" s="3"/>
    </row>
    <row r="3" spans="1:25" ht="15.75" customHeight="1">
      <c r="A3" s="283" t="s">
        <v>706</v>
      </c>
      <c r="B3" s="4" t="s">
        <v>2205</v>
      </c>
      <c r="C3" s="3"/>
      <c r="D3" s="3"/>
      <c r="E3" s="3"/>
      <c r="F3" s="3"/>
      <c r="G3" s="3"/>
      <c r="H3" s="3"/>
      <c r="I3" s="3"/>
      <c r="J3" s="3"/>
      <c r="K3" s="3"/>
      <c r="L3" s="3"/>
      <c r="M3" s="3"/>
      <c r="N3" s="3"/>
      <c r="O3" s="3"/>
      <c r="P3" s="3"/>
      <c r="Q3" s="3"/>
      <c r="R3" s="3"/>
      <c r="S3" s="3"/>
      <c r="T3" s="3"/>
      <c r="U3" s="3"/>
      <c r="V3" s="3"/>
      <c r="W3" s="3"/>
      <c r="X3" s="3"/>
      <c r="Y3" s="3"/>
    </row>
    <row r="4" spans="1:25" ht="15.75" customHeight="1">
      <c r="A4" s="283" t="s">
        <v>16</v>
      </c>
      <c r="B4" s="4" t="s">
        <v>2206</v>
      </c>
      <c r="C4" s="3"/>
      <c r="D4" s="3"/>
      <c r="E4" s="3"/>
      <c r="F4" s="3"/>
      <c r="G4" s="3"/>
      <c r="H4" s="3"/>
      <c r="I4" s="3"/>
      <c r="J4" s="3"/>
      <c r="K4" s="3"/>
      <c r="L4" s="3"/>
      <c r="M4" s="3"/>
      <c r="N4" s="3"/>
      <c r="O4" s="3"/>
      <c r="P4" s="3"/>
      <c r="Q4" s="3"/>
      <c r="R4" s="3"/>
      <c r="S4" s="3"/>
      <c r="T4" s="3"/>
      <c r="U4" s="3"/>
      <c r="V4" s="3"/>
      <c r="W4" s="3"/>
      <c r="X4" s="3"/>
      <c r="Y4" s="3"/>
    </row>
    <row r="5" spans="1:25" ht="15.75" customHeight="1">
      <c r="A5" s="283" t="s">
        <v>272</v>
      </c>
      <c r="B5" s="4" t="s">
        <v>2209</v>
      </c>
      <c r="C5" s="3"/>
      <c r="D5" s="3"/>
      <c r="E5" s="3"/>
      <c r="F5" s="3"/>
      <c r="G5" s="3"/>
      <c r="H5" s="3"/>
      <c r="I5" s="3"/>
      <c r="J5" s="3"/>
      <c r="K5" s="3"/>
      <c r="L5" s="3"/>
      <c r="M5" s="3"/>
      <c r="N5" s="3"/>
      <c r="O5" s="3"/>
      <c r="P5" s="3"/>
      <c r="Q5" s="3"/>
      <c r="R5" s="3"/>
      <c r="S5" s="3"/>
      <c r="T5" s="3"/>
      <c r="U5" s="3"/>
      <c r="V5" s="3"/>
      <c r="W5" s="3"/>
      <c r="X5" s="3"/>
      <c r="Y5" s="3"/>
    </row>
    <row r="6" spans="1:25" ht="15.75" customHeight="1">
      <c r="A6" s="283" t="s">
        <v>17</v>
      </c>
      <c r="B6" s="4" t="s">
        <v>2210</v>
      </c>
      <c r="C6" s="3"/>
      <c r="D6" s="3"/>
      <c r="E6" s="3"/>
      <c r="F6" s="3"/>
      <c r="G6" s="3"/>
      <c r="H6" s="3"/>
      <c r="I6" s="3"/>
      <c r="J6" s="3"/>
      <c r="K6" s="3"/>
      <c r="L6" s="3"/>
      <c r="M6" s="3"/>
      <c r="N6" s="3"/>
      <c r="O6" s="3"/>
      <c r="P6" s="3"/>
      <c r="Q6" s="3"/>
      <c r="R6" s="3"/>
      <c r="S6" s="3"/>
      <c r="T6" s="3"/>
      <c r="U6" s="3"/>
      <c r="V6" s="3"/>
      <c r="W6" s="3"/>
      <c r="X6" s="3"/>
      <c r="Y6" s="3"/>
    </row>
    <row r="7" spans="1:25" ht="15.75" customHeight="1">
      <c r="A7" s="283" t="s">
        <v>44</v>
      </c>
      <c r="B7" s="4" t="s">
        <v>2211</v>
      </c>
      <c r="C7" s="3"/>
      <c r="D7" s="3"/>
      <c r="E7" s="3"/>
      <c r="F7" s="3"/>
      <c r="G7" s="3"/>
      <c r="H7" s="3"/>
      <c r="I7" s="3"/>
      <c r="J7" s="3"/>
      <c r="K7" s="3"/>
      <c r="L7" s="3"/>
      <c r="M7" s="3"/>
      <c r="N7" s="3"/>
      <c r="O7" s="3"/>
      <c r="P7" s="3"/>
      <c r="Q7" s="3"/>
      <c r="R7" s="3"/>
      <c r="S7" s="3"/>
      <c r="T7" s="3"/>
      <c r="U7" s="3"/>
      <c r="V7" s="3"/>
      <c r="W7" s="3"/>
      <c r="X7" s="3"/>
      <c r="Y7" s="3"/>
    </row>
    <row r="8" spans="1:25" ht="15.75" customHeight="1">
      <c r="A8" s="283" t="s">
        <v>1465</v>
      </c>
      <c r="B8" s="4" t="s">
        <v>2212</v>
      </c>
      <c r="C8" s="3"/>
      <c r="D8" s="3"/>
      <c r="E8" s="3"/>
      <c r="F8" s="3"/>
      <c r="G8" s="3"/>
      <c r="H8" s="3"/>
      <c r="I8" s="3"/>
      <c r="J8" s="3"/>
      <c r="K8" s="3"/>
      <c r="L8" s="3"/>
      <c r="M8" s="3"/>
      <c r="N8" s="3"/>
      <c r="O8" s="3"/>
      <c r="P8" s="3"/>
      <c r="Q8" s="3"/>
      <c r="R8" s="3"/>
      <c r="S8" s="3"/>
      <c r="T8" s="3"/>
      <c r="U8" s="3"/>
      <c r="V8" s="3"/>
      <c r="W8" s="3"/>
      <c r="X8" s="3"/>
      <c r="Y8" s="3"/>
    </row>
    <row r="9" spans="1:25" ht="15.75" customHeight="1">
      <c r="A9" s="283" t="s">
        <v>15</v>
      </c>
      <c r="B9" s="4" t="s">
        <v>2213</v>
      </c>
      <c r="C9" s="3"/>
      <c r="D9" s="3"/>
      <c r="E9" s="3"/>
      <c r="F9" s="3"/>
      <c r="G9" s="3"/>
      <c r="H9" s="3"/>
      <c r="I9" s="3"/>
      <c r="J9" s="3"/>
      <c r="K9" s="3"/>
      <c r="L9" s="3"/>
      <c r="M9" s="3"/>
      <c r="N9" s="3"/>
      <c r="O9" s="3"/>
      <c r="P9" s="3"/>
      <c r="Q9" s="3"/>
      <c r="R9" s="3"/>
      <c r="S9" s="3"/>
      <c r="T9" s="3"/>
      <c r="U9" s="3"/>
      <c r="V9" s="3"/>
      <c r="W9" s="3"/>
      <c r="X9" s="3"/>
      <c r="Y9" s="3"/>
    </row>
    <row r="10" spans="1:25" ht="15.75" customHeight="1">
      <c r="A10" s="283" t="s">
        <v>28</v>
      </c>
      <c r="B10" s="4" t="s">
        <v>2214</v>
      </c>
      <c r="C10" s="3"/>
      <c r="D10" s="3"/>
      <c r="E10" s="3"/>
      <c r="F10" s="3"/>
      <c r="G10" s="3"/>
      <c r="H10" s="3"/>
      <c r="I10" s="3"/>
      <c r="J10" s="3"/>
      <c r="K10" s="3"/>
      <c r="L10" s="3"/>
      <c r="M10" s="3"/>
      <c r="N10" s="3"/>
      <c r="O10" s="3"/>
      <c r="P10" s="3"/>
      <c r="Q10" s="3"/>
      <c r="R10" s="3"/>
      <c r="S10" s="3"/>
      <c r="T10" s="3"/>
      <c r="U10" s="3"/>
      <c r="V10" s="3"/>
      <c r="W10" s="3"/>
      <c r="X10" s="3"/>
      <c r="Y10" s="3"/>
    </row>
    <row r="11" spans="1:25" ht="15.75" customHeight="1">
      <c r="A11" s="283" t="s">
        <v>275</v>
      </c>
      <c r="B11" s="4" t="s">
        <v>2215</v>
      </c>
      <c r="C11" s="3"/>
      <c r="D11" s="3"/>
      <c r="E11" s="3"/>
      <c r="F11" s="3"/>
      <c r="G11" s="3"/>
      <c r="H11" s="3"/>
      <c r="I11" s="3"/>
      <c r="J11" s="3"/>
      <c r="K11" s="3"/>
      <c r="L11" s="3"/>
      <c r="M11" s="3"/>
      <c r="N11" s="3"/>
      <c r="O11" s="3"/>
      <c r="P11" s="3"/>
      <c r="Q11" s="3"/>
      <c r="R11" s="3"/>
      <c r="S11" s="3"/>
      <c r="T11" s="3"/>
      <c r="U11" s="3"/>
      <c r="V11" s="3"/>
      <c r="W11" s="3"/>
      <c r="X11" s="3"/>
      <c r="Y11" s="3"/>
    </row>
    <row r="12" spans="1:25" ht="15.75" customHeight="1">
      <c r="A12" s="283" t="s">
        <v>32</v>
      </c>
      <c r="B12" s="4" t="s">
        <v>2216</v>
      </c>
      <c r="C12" s="3"/>
      <c r="D12" s="3"/>
      <c r="E12" s="3"/>
      <c r="F12" s="3"/>
      <c r="G12" s="3"/>
      <c r="H12" s="3"/>
      <c r="I12" s="3"/>
      <c r="J12" s="3"/>
      <c r="K12" s="3"/>
      <c r="L12" s="3"/>
      <c r="M12" s="3"/>
      <c r="N12" s="3"/>
      <c r="O12" s="3"/>
      <c r="P12" s="3"/>
      <c r="Q12" s="3"/>
      <c r="R12" s="3"/>
      <c r="S12" s="3"/>
      <c r="T12" s="3"/>
      <c r="U12" s="3"/>
      <c r="V12" s="3"/>
      <c r="W12" s="3"/>
      <c r="X12" s="3"/>
      <c r="Y12" s="3"/>
    </row>
    <row r="13" spans="1:25" ht="15.75" customHeight="1">
      <c r="A13" s="283" t="s">
        <v>32</v>
      </c>
      <c r="B13" s="4" t="s">
        <v>2219</v>
      </c>
      <c r="C13" s="3"/>
      <c r="D13" s="3"/>
      <c r="E13" s="3"/>
      <c r="F13" s="3"/>
      <c r="G13" s="3"/>
      <c r="H13" s="3"/>
      <c r="I13" s="3"/>
      <c r="J13" s="3"/>
      <c r="K13" s="3"/>
      <c r="L13" s="3"/>
      <c r="M13" s="3"/>
      <c r="N13" s="3"/>
      <c r="O13" s="3"/>
      <c r="P13" s="3"/>
      <c r="Q13" s="3"/>
      <c r="R13" s="3"/>
      <c r="S13" s="3"/>
      <c r="T13" s="3"/>
      <c r="U13" s="3"/>
      <c r="V13" s="3"/>
      <c r="W13" s="3"/>
      <c r="X13" s="3"/>
      <c r="Y13" s="3"/>
    </row>
    <row r="14" spans="1:25" ht="15.75" customHeight="1">
      <c r="A14" s="283" t="s">
        <v>276</v>
      </c>
      <c r="B14" s="4" t="s">
        <v>2220</v>
      </c>
      <c r="C14" s="3"/>
      <c r="D14" s="3"/>
      <c r="E14" s="3"/>
      <c r="F14" s="3"/>
      <c r="G14" s="3"/>
      <c r="H14" s="3"/>
      <c r="I14" s="3"/>
      <c r="J14" s="3"/>
      <c r="K14" s="3"/>
      <c r="L14" s="3"/>
      <c r="M14" s="3"/>
      <c r="N14" s="3"/>
      <c r="O14" s="3"/>
      <c r="P14" s="3"/>
      <c r="Q14" s="3"/>
      <c r="R14" s="3"/>
      <c r="S14" s="3"/>
      <c r="T14" s="3"/>
      <c r="U14" s="3"/>
      <c r="V14" s="3"/>
      <c r="W14" s="3"/>
      <c r="X14" s="3"/>
      <c r="Y14" s="3"/>
    </row>
    <row r="15" spans="1:25" ht="15.75" customHeight="1">
      <c r="A15" s="283" t="s">
        <v>10</v>
      </c>
      <c r="B15" s="4" t="s">
        <v>2221</v>
      </c>
      <c r="C15" s="3"/>
      <c r="D15" s="3"/>
      <c r="E15" s="3"/>
      <c r="F15" s="3"/>
      <c r="G15" s="3"/>
      <c r="H15" s="3"/>
      <c r="I15" s="3"/>
      <c r="J15" s="3"/>
      <c r="K15" s="3"/>
      <c r="L15" s="3"/>
      <c r="M15" s="3"/>
      <c r="N15" s="3"/>
      <c r="O15" s="3"/>
      <c r="P15" s="3"/>
      <c r="Q15" s="3"/>
      <c r="R15" s="3"/>
      <c r="S15" s="3"/>
      <c r="T15" s="3"/>
      <c r="U15" s="3"/>
      <c r="V15" s="3"/>
      <c r="W15" s="3"/>
      <c r="X15" s="3"/>
      <c r="Y15" s="3"/>
    </row>
    <row r="16" spans="1:25" ht="15.75" customHeight="1">
      <c r="A16" s="283" t="s">
        <v>11</v>
      </c>
      <c r="B16" s="4" t="s">
        <v>2222</v>
      </c>
      <c r="C16" s="3"/>
      <c r="D16" s="3"/>
      <c r="E16" s="3"/>
      <c r="F16" s="3"/>
      <c r="G16" s="3"/>
      <c r="H16" s="3"/>
      <c r="I16" s="3"/>
      <c r="J16" s="3"/>
      <c r="K16" s="3"/>
      <c r="L16" s="3"/>
      <c r="M16" s="3"/>
      <c r="N16" s="3"/>
      <c r="O16" s="3"/>
      <c r="P16" s="3"/>
      <c r="Q16" s="3"/>
      <c r="R16" s="3"/>
      <c r="S16" s="3"/>
      <c r="T16" s="3"/>
      <c r="U16" s="3"/>
      <c r="V16" s="3"/>
      <c r="W16" s="3"/>
      <c r="X16" s="3"/>
      <c r="Y16" s="3"/>
    </row>
    <row r="17" spans="1:25" ht="15.75" customHeight="1">
      <c r="A17" s="283" t="s">
        <v>277</v>
      </c>
      <c r="B17" s="4" t="s">
        <v>2223</v>
      </c>
      <c r="C17" s="3"/>
      <c r="D17" s="3"/>
      <c r="E17" s="3"/>
      <c r="F17" s="3"/>
      <c r="G17" s="3"/>
      <c r="H17" s="3"/>
      <c r="I17" s="3"/>
      <c r="J17" s="3"/>
      <c r="K17" s="3"/>
      <c r="L17" s="3"/>
      <c r="M17" s="3"/>
      <c r="N17" s="3"/>
      <c r="O17" s="3"/>
      <c r="P17" s="3"/>
      <c r="Q17" s="3"/>
      <c r="R17" s="3"/>
      <c r="S17" s="3"/>
      <c r="T17" s="3"/>
      <c r="U17" s="3"/>
      <c r="V17" s="3"/>
      <c r="W17" s="3"/>
      <c r="X17" s="3"/>
      <c r="Y17" s="3"/>
    </row>
    <row r="18" spans="1:25" ht="15.75" customHeight="1">
      <c r="A18" s="283" t="s">
        <v>278</v>
      </c>
      <c r="B18" s="4" t="s">
        <v>2224</v>
      </c>
      <c r="C18" s="3"/>
      <c r="D18" s="3"/>
      <c r="E18" s="3"/>
      <c r="F18" s="3"/>
      <c r="G18" s="3"/>
      <c r="H18" s="3"/>
      <c r="I18" s="3"/>
      <c r="J18" s="3"/>
      <c r="K18" s="3"/>
      <c r="L18" s="3"/>
      <c r="M18" s="3"/>
      <c r="N18" s="3"/>
      <c r="O18" s="3"/>
      <c r="P18" s="3"/>
      <c r="Q18" s="3"/>
      <c r="R18" s="3"/>
      <c r="S18" s="3"/>
      <c r="T18" s="3"/>
      <c r="U18" s="3"/>
      <c r="V18" s="3"/>
      <c r="W18" s="3"/>
      <c r="X18" s="3"/>
      <c r="Y18" s="3"/>
    </row>
    <row r="19" spans="1:25" ht="15.75" customHeight="1">
      <c r="A19" s="283" t="s">
        <v>279</v>
      </c>
      <c r="B19" s="4" t="s">
        <v>2225</v>
      </c>
      <c r="C19" s="3"/>
      <c r="D19" s="3"/>
      <c r="E19" s="3"/>
      <c r="F19" s="3"/>
      <c r="G19" s="3"/>
      <c r="H19" s="3"/>
      <c r="I19" s="3"/>
      <c r="J19" s="3"/>
      <c r="K19" s="3"/>
      <c r="L19" s="3"/>
      <c r="M19" s="3"/>
      <c r="N19" s="3"/>
      <c r="O19" s="3"/>
      <c r="P19" s="3"/>
      <c r="Q19" s="3"/>
      <c r="R19" s="3"/>
      <c r="S19" s="3"/>
      <c r="T19" s="3"/>
      <c r="U19" s="3"/>
      <c r="V19" s="3"/>
      <c r="W19" s="3"/>
      <c r="X19" s="3"/>
      <c r="Y19" s="3"/>
    </row>
    <row r="20" spans="1:25" ht="15.75" customHeight="1">
      <c r="A20" s="283" t="s">
        <v>280</v>
      </c>
      <c r="B20" s="4" t="s">
        <v>2226</v>
      </c>
      <c r="C20" s="3"/>
      <c r="D20" s="3"/>
      <c r="E20" s="3"/>
      <c r="F20" s="3"/>
      <c r="G20" s="3"/>
      <c r="H20" s="3"/>
      <c r="I20" s="3"/>
      <c r="J20" s="3"/>
      <c r="K20" s="3"/>
      <c r="L20" s="3"/>
      <c r="M20" s="3"/>
      <c r="N20" s="3"/>
      <c r="O20" s="3"/>
      <c r="P20" s="3"/>
      <c r="Q20" s="3"/>
      <c r="R20" s="3"/>
      <c r="S20" s="3"/>
      <c r="T20" s="3"/>
      <c r="U20" s="3"/>
      <c r="V20" s="3"/>
      <c r="W20" s="3"/>
      <c r="X20" s="3"/>
      <c r="Y20" s="3"/>
    </row>
    <row r="21" spans="1:25" ht="15.75" customHeight="1">
      <c r="A21" s="3"/>
      <c r="B21" s="3"/>
      <c r="C21" s="3"/>
      <c r="D21" s="3"/>
      <c r="E21" s="3"/>
      <c r="F21" s="3"/>
      <c r="G21" s="3"/>
      <c r="H21" s="3"/>
      <c r="I21" s="3"/>
      <c r="J21" s="3"/>
      <c r="K21" s="3"/>
      <c r="L21" s="3"/>
      <c r="M21" s="3"/>
      <c r="N21" s="3"/>
      <c r="O21" s="3"/>
      <c r="P21" s="3"/>
      <c r="Q21" s="3"/>
      <c r="R21" s="3"/>
      <c r="S21" s="3"/>
      <c r="T21" s="3"/>
      <c r="U21" s="3"/>
      <c r="V21" s="3"/>
      <c r="W21" s="3"/>
      <c r="X21" s="3"/>
      <c r="Y21" s="3"/>
    </row>
    <row r="22" spans="1:25" ht="15.75" customHeight="1">
      <c r="A22" s="3"/>
      <c r="B22" s="3"/>
      <c r="C22" s="3"/>
      <c r="D22" s="3"/>
      <c r="E22" s="3"/>
      <c r="F22" s="3"/>
      <c r="G22" s="3"/>
      <c r="H22" s="3"/>
      <c r="I22" s="3"/>
      <c r="J22" s="3"/>
      <c r="K22" s="3"/>
      <c r="L22" s="3"/>
      <c r="M22" s="3"/>
      <c r="N22" s="3"/>
      <c r="O22" s="3"/>
      <c r="P22" s="3"/>
      <c r="Q22" s="3"/>
      <c r="R22" s="3"/>
      <c r="S22" s="3"/>
      <c r="T22" s="3"/>
      <c r="U22" s="3"/>
      <c r="V22" s="3"/>
      <c r="W22" s="3"/>
      <c r="X22" s="3"/>
      <c r="Y22" s="3"/>
    </row>
    <row r="23" spans="1:25" ht="13">
      <c r="A23" s="3"/>
      <c r="B23" s="3"/>
      <c r="C23" s="3"/>
      <c r="D23" s="3"/>
      <c r="E23" s="3"/>
      <c r="F23" s="3"/>
      <c r="G23" s="3"/>
      <c r="H23" s="3"/>
      <c r="I23" s="3"/>
      <c r="J23" s="3"/>
      <c r="K23" s="3"/>
      <c r="L23" s="3"/>
      <c r="M23" s="3"/>
      <c r="N23" s="3"/>
      <c r="O23" s="3"/>
      <c r="P23" s="3"/>
      <c r="Q23" s="3"/>
      <c r="R23" s="3"/>
      <c r="S23" s="3"/>
      <c r="T23" s="3"/>
      <c r="U23" s="3"/>
      <c r="V23" s="3"/>
      <c r="W23" s="3"/>
      <c r="X23" s="3"/>
      <c r="Y23" s="3"/>
    </row>
    <row r="24" spans="1:25" ht="13">
      <c r="A24" s="3"/>
      <c r="B24" s="3"/>
      <c r="C24" s="3"/>
      <c r="D24" s="3"/>
      <c r="E24" s="3"/>
      <c r="F24" s="3"/>
      <c r="G24" s="3"/>
      <c r="H24" s="3"/>
      <c r="I24" s="3"/>
      <c r="J24" s="3"/>
      <c r="K24" s="3"/>
      <c r="L24" s="3"/>
      <c r="M24" s="3"/>
      <c r="N24" s="3"/>
      <c r="O24" s="3"/>
      <c r="P24" s="3"/>
      <c r="Q24" s="3"/>
      <c r="R24" s="3"/>
      <c r="S24" s="3"/>
      <c r="T24" s="3"/>
      <c r="U24" s="3"/>
      <c r="V24" s="3"/>
      <c r="W24" s="3"/>
      <c r="X24" s="3"/>
      <c r="Y24" s="3"/>
    </row>
    <row r="25" spans="1:25" ht="13">
      <c r="A25" s="3"/>
      <c r="B25" s="3"/>
      <c r="C25" s="3"/>
      <c r="D25" s="3"/>
      <c r="E25" s="3"/>
      <c r="F25" s="3"/>
      <c r="G25" s="3"/>
      <c r="H25" s="3"/>
      <c r="I25" s="3"/>
      <c r="J25" s="3"/>
      <c r="K25" s="3"/>
      <c r="L25" s="3"/>
      <c r="M25" s="3"/>
      <c r="N25" s="3"/>
      <c r="O25" s="3"/>
      <c r="P25" s="3"/>
      <c r="Q25" s="3"/>
      <c r="R25" s="3"/>
      <c r="S25" s="3"/>
      <c r="T25" s="3"/>
      <c r="U25" s="3"/>
      <c r="V25" s="3"/>
      <c r="W25" s="3"/>
      <c r="X25" s="3"/>
      <c r="Y25" s="3"/>
    </row>
    <row r="26" spans="1:25" ht="13">
      <c r="A26" s="3"/>
      <c r="B26" s="3"/>
      <c r="C26" s="3"/>
      <c r="D26" s="3"/>
      <c r="E26" s="3"/>
      <c r="F26" s="3"/>
      <c r="G26" s="3"/>
      <c r="H26" s="3"/>
      <c r="I26" s="3"/>
      <c r="J26" s="3"/>
      <c r="K26" s="3"/>
      <c r="L26" s="3"/>
      <c r="M26" s="3"/>
      <c r="N26" s="3"/>
      <c r="O26" s="3"/>
      <c r="P26" s="3"/>
      <c r="Q26" s="3"/>
      <c r="R26" s="3"/>
      <c r="S26" s="3"/>
      <c r="T26" s="3"/>
      <c r="U26" s="3"/>
      <c r="V26" s="3"/>
      <c r="W26" s="3"/>
      <c r="X26" s="3"/>
      <c r="Y26" s="3"/>
    </row>
    <row r="27" spans="1:25" ht="13">
      <c r="A27" s="3"/>
      <c r="B27" s="3"/>
      <c r="C27" s="3"/>
      <c r="D27" s="3"/>
      <c r="E27" s="3"/>
      <c r="F27" s="3"/>
      <c r="G27" s="3"/>
      <c r="H27" s="3"/>
      <c r="I27" s="3"/>
      <c r="J27" s="3"/>
      <c r="K27" s="3"/>
      <c r="L27" s="3"/>
      <c r="M27" s="3"/>
      <c r="N27" s="3"/>
      <c r="O27" s="3"/>
      <c r="P27" s="3"/>
      <c r="Q27" s="3"/>
      <c r="R27" s="3"/>
      <c r="S27" s="3"/>
      <c r="T27" s="3"/>
      <c r="U27" s="3"/>
      <c r="V27" s="3"/>
      <c r="W27" s="3"/>
      <c r="X27" s="3"/>
      <c r="Y27" s="3"/>
    </row>
    <row r="28" spans="1:25" ht="13">
      <c r="A28" s="3"/>
      <c r="B28" s="3"/>
      <c r="C28" s="3"/>
      <c r="D28" s="3"/>
      <c r="E28" s="3"/>
      <c r="F28" s="3"/>
      <c r="G28" s="3"/>
      <c r="H28" s="3"/>
      <c r="I28" s="3"/>
      <c r="J28" s="3"/>
      <c r="K28" s="3"/>
      <c r="L28" s="3"/>
      <c r="M28" s="3"/>
      <c r="N28" s="3"/>
      <c r="O28" s="3"/>
      <c r="P28" s="3"/>
      <c r="Q28" s="3"/>
      <c r="R28" s="3"/>
      <c r="S28" s="3"/>
      <c r="T28" s="3"/>
      <c r="U28" s="3"/>
      <c r="V28" s="3"/>
      <c r="W28" s="3"/>
      <c r="X28" s="3"/>
      <c r="Y28" s="3"/>
    </row>
    <row r="29" spans="1:25" ht="13">
      <c r="A29" s="3"/>
      <c r="B29" s="3"/>
      <c r="C29" s="3"/>
      <c r="D29" s="3"/>
      <c r="E29" s="3"/>
      <c r="F29" s="3"/>
      <c r="G29" s="3"/>
      <c r="H29" s="3"/>
      <c r="I29" s="3"/>
      <c r="J29" s="3"/>
      <c r="K29" s="3"/>
      <c r="L29" s="3"/>
      <c r="M29" s="3"/>
      <c r="N29" s="3"/>
      <c r="O29" s="3"/>
      <c r="P29" s="3"/>
      <c r="Q29" s="3"/>
      <c r="R29" s="3"/>
      <c r="S29" s="3"/>
      <c r="T29" s="3"/>
      <c r="U29" s="3"/>
      <c r="V29" s="3"/>
      <c r="W29" s="3"/>
      <c r="X29" s="3"/>
      <c r="Y29" s="3"/>
    </row>
    <row r="30" spans="1:25" ht="13">
      <c r="A30" s="3"/>
      <c r="B30" s="3"/>
      <c r="C30" s="3"/>
      <c r="D30" s="3"/>
      <c r="E30" s="3"/>
      <c r="F30" s="3"/>
      <c r="G30" s="3"/>
      <c r="H30" s="3"/>
      <c r="I30" s="3"/>
      <c r="J30" s="3"/>
      <c r="K30" s="3"/>
      <c r="L30" s="3"/>
      <c r="M30" s="3"/>
      <c r="N30" s="3"/>
      <c r="O30" s="3"/>
      <c r="P30" s="3"/>
      <c r="Q30" s="3"/>
      <c r="R30" s="3"/>
      <c r="S30" s="3"/>
      <c r="T30" s="3"/>
      <c r="U30" s="3"/>
      <c r="V30" s="3"/>
      <c r="W30" s="3"/>
      <c r="X30" s="3"/>
      <c r="Y30" s="3"/>
    </row>
    <row r="31" spans="1:25" ht="13">
      <c r="A31" s="3"/>
      <c r="B31" s="3"/>
      <c r="C31" s="3"/>
      <c r="D31" s="3"/>
      <c r="E31" s="3"/>
      <c r="F31" s="3"/>
      <c r="G31" s="3"/>
      <c r="H31" s="3"/>
      <c r="I31" s="3"/>
      <c r="J31" s="3"/>
      <c r="K31" s="3"/>
      <c r="L31" s="3"/>
      <c r="M31" s="3"/>
      <c r="N31" s="3"/>
      <c r="O31" s="3"/>
      <c r="P31" s="3"/>
      <c r="Q31" s="3"/>
      <c r="R31" s="3"/>
      <c r="S31" s="3"/>
      <c r="T31" s="3"/>
      <c r="U31" s="3"/>
      <c r="V31" s="3"/>
      <c r="W31" s="3"/>
      <c r="X31" s="3"/>
      <c r="Y31" s="3"/>
    </row>
    <row r="32" spans="1:25" ht="13">
      <c r="A32" s="3"/>
      <c r="B32" s="3"/>
      <c r="C32" s="3"/>
      <c r="D32" s="3"/>
      <c r="E32" s="3"/>
      <c r="F32" s="3"/>
      <c r="G32" s="3"/>
      <c r="H32" s="3"/>
      <c r="I32" s="3"/>
      <c r="J32" s="3"/>
      <c r="K32" s="3"/>
      <c r="L32" s="3"/>
      <c r="M32" s="3"/>
      <c r="N32" s="3"/>
      <c r="O32" s="3"/>
      <c r="P32" s="3"/>
      <c r="Q32" s="3"/>
      <c r="R32" s="3"/>
      <c r="S32" s="3"/>
      <c r="T32" s="3"/>
      <c r="U32" s="3"/>
      <c r="V32" s="3"/>
      <c r="W32" s="3"/>
      <c r="X32" s="3"/>
      <c r="Y32" s="3"/>
    </row>
    <row r="33" spans="1:25" ht="13">
      <c r="A33" s="3"/>
      <c r="B33" s="3"/>
      <c r="C33" s="3"/>
      <c r="D33" s="3"/>
      <c r="E33" s="3"/>
      <c r="F33" s="3"/>
      <c r="G33" s="3"/>
      <c r="H33" s="3"/>
      <c r="I33" s="3"/>
      <c r="J33" s="3"/>
      <c r="K33" s="3"/>
      <c r="L33" s="3"/>
      <c r="M33" s="3"/>
      <c r="N33" s="3"/>
      <c r="O33" s="3"/>
      <c r="P33" s="3"/>
      <c r="Q33" s="3"/>
      <c r="R33" s="3"/>
      <c r="S33" s="3"/>
      <c r="T33" s="3"/>
      <c r="U33" s="3"/>
      <c r="V33" s="3"/>
      <c r="W33" s="3"/>
      <c r="X33" s="3"/>
      <c r="Y33" s="3"/>
    </row>
    <row r="34" spans="1:25" ht="13">
      <c r="A34" s="3"/>
      <c r="B34" s="3"/>
      <c r="C34" s="3"/>
      <c r="D34" s="3"/>
      <c r="E34" s="3"/>
      <c r="F34" s="3"/>
      <c r="G34" s="3"/>
      <c r="H34" s="3"/>
      <c r="I34" s="3"/>
      <c r="J34" s="3"/>
      <c r="K34" s="3"/>
      <c r="L34" s="3"/>
      <c r="M34" s="3"/>
      <c r="N34" s="3"/>
      <c r="O34" s="3"/>
      <c r="P34" s="3"/>
      <c r="Q34" s="3"/>
      <c r="R34" s="3"/>
      <c r="S34" s="3"/>
      <c r="T34" s="3"/>
      <c r="U34" s="3"/>
      <c r="V34" s="3"/>
      <c r="W34" s="3"/>
      <c r="X34" s="3"/>
      <c r="Y34" s="3"/>
    </row>
    <row r="35" spans="1:25" ht="13">
      <c r="A35" s="3"/>
      <c r="B35" s="3"/>
      <c r="C35" s="3"/>
      <c r="D35" s="3"/>
      <c r="E35" s="3"/>
      <c r="F35" s="3"/>
      <c r="G35" s="3"/>
      <c r="H35" s="3"/>
      <c r="I35" s="3"/>
      <c r="J35" s="3"/>
      <c r="K35" s="3"/>
      <c r="L35" s="3"/>
      <c r="M35" s="3"/>
      <c r="N35" s="3"/>
      <c r="O35" s="3"/>
      <c r="P35" s="3"/>
      <c r="Q35" s="3"/>
      <c r="R35" s="3"/>
      <c r="S35" s="3"/>
      <c r="T35" s="3"/>
      <c r="U35" s="3"/>
      <c r="V35" s="3"/>
      <c r="W35" s="3"/>
      <c r="X35" s="3"/>
      <c r="Y35" s="3"/>
    </row>
    <row r="36" spans="1:25" ht="13">
      <c r="A36" s="3"/>
      <c r="B36" s="3"/>
      <c r="C36" s="3"/>
      <c r="D36" s="3"/>
      <c r="E36" s="3"/>
      <c r="F36" s="3"/>
      <c r="G36" s="3"/>
      <c r="H36" s="3"/>
      <c r="I36" s="3"/>
      <c r="J36" s="3"/>
      <c r="K36" s="3"/>
      <c r="L36" s="3"/>
      <c r="M36" s="3"/>
      <c r="N36" s="3"/>
      <c r="O36" s="3"/>
      <c r="P36" s="3"/>
      <c r="Q36" s="3"/>
      <c r="R36" s="3"/>
      <c r="S36" s="3"/>
      <c r="T36" s="3"/>
      <c r="U36" s="3"/>
      <c r="V36" s="3"/>
      <c r="W36" s="3"/>
      <c r="X36" s="3"/>
      <c r="Y36" s="3"/>
    </row>
    <row r="37" spans="1:25" ht="13">
      <c r="A37" s="3"/>
      <c r="B37" s="3"/>
      <c r="C37" s="3"/>
      <c r="D37" s="3"/>
      <c r="E37" s="3"/>
      <c r="F37" s="3"/>
      <c r="G37" s="3"/>
      <c r="H37" s="3"/>
      <c r="I37" s="3"/>
      <c r="J37" s="3"/>
      <c r="K37" s="3"/>
      <c r="L37" s="3"/>
      <c r="M37" s="3"/>
      <c r="N37" s="3"/>
      <c r="O37" s="3"/>
      <c r="P37" s="3"/>
      <c r="Q37" s="3"/>
      <c r="R37" s="3"/>
      <c r="S37" s="3"/>
      <c r="T37" s="3"/>
      <c r="U37" s="3"/>
      <c r="V37" s="3"/>
      <c r="W37" s="3"/>
      <c r="X37" s="3"/>
      <c r="Y37" s="3"/>
    </row>
    <row r="38" spans="1:25" ht="13">
      <c r="A38" s="3"/>
      <c r="B38" s="3"/>
      <c r="C38" s="3"/>
      <c r="D38" s="3"/>
      <c r="E38" s="3"/>
      <c r="F38" s="3"/>
      <c r="G38" s="3"/>
      <c r="H38" s="3"/>
      <c r="I38" s="3"/>
      <c r="J38" s="3"/>
      <c r="K38" s="3"/>
      <c r="L38" s="3"/>
      <c r="M38" s="3"/>
      <c r="N38" s="3"/>
      <c r="O38" s="3"/>
      <c r="P38" s="3"/>
      <c r="Q38" s="3"/>
      <c r="R38" s="3"/>
      <c r="S38" s="3"/>
      <c r="T38" s="3"/>
      <c r="U38" s="3"/>
      <c r="V38" s="3"/>
      <c r="W38" s="3"/>
      <c r="X38" s="3"/>
      <c r="Y38" s="3"/>
    </row>
    <row r="39" spans="1:25" ht="13">
      <c r="A39" s="3"/>
      <c r="B39" s="3"/>
      <c r="C39" s="3"/>
      <c r="D39" s="3"/>
      <c r="E39" s="3"/>
      <c r="F39" s="3"/>
      <c r="G39" s="3"/>
      <c r="H39" s="3"/>
      <c r="I39" s="3"/>
      <c r="J39" s="3"/>
      <c r="K39" s="3"/>
      <c r="L39" s="3"/>
      <c r="M39" s="3"/>
      <c r="N39" s="3"/>
      <c r="O39" s="3"/>
      <c r="P39" s="3"/>
      <c r="Q39" s="3"/>
      <c r="R39" s="3"/>
      <c r="S39" s="3"/>
      <c r="T39" s="3"/>
      <c r="U39" s="3"/>
      <c r="V39" s="3"/>
      <c r="W39" s="3"/>
      <c r="X39" s="3"/>
      <c r="Y39" s="3"/>
    </row>
    <row r="40" spans="1:25" ht="13">
      <c r="A40" s="3"/>
      <c r="B40" s="3"/>
      <c r="C40" s="3"/>
      <c r="D40" s="3"/>
      <c r="E40" s="3"/>
      <c r="F40" s="3"/>
      <c r="G40" s="3"/>
      <c r="H40" s="3"/>
      <c r="I40" s="3"/>
      <c r="J40" s="3"/>
      <c r="K40" s="3"/>
      <c r="L40" s="3"/>
      <c r="M40" s="3"/>
      <c r="N40" s="3"/>
      <c r="O40" s="3"/>
      <c r="P40" s="3"/>
      <c r="Q40" s="3"/>
      <c r="R40" s="3"/>
      <c r="S40" s="3"/>
      <c r="T40" s="3"/>
      <c r="U40" s="3"/>
      <c r="V40" s="3"/>
      <c r="W40" s="3"/>
      <c r="X40" s="3"/>
      <c r="Y40" s="3"/>
    </row>
    <row r="41" spans="1:25" ht="13">
      <c r="A41" s="3"/>
      <c r="B41" s="3"/>
      <c r="C41" s="3"/>
      <c r="D41" s="3"/>
      <c r="E41" s="3"/>
      <c r="F41" s="3"/>
      <c r="G41" s="3"/>
      <c r="H41" s="3"/>
      <c r="I41" s="3"/>
      <c r="J41" s="3"/>
      <c r="K41" s="3"/>
      <c r="L41" s="3"/>
      <c r="M41" s="3"/>
      <c r="N41" s="3"/>
      <c r="O41" s="3"/>
      <c r="P41" s="3"/>
      <c r="Q41" s="3"/>
      <c r="R41" s="3"/>
      <c r="S41" s="3"/>
      <c r="T41" s="3"/>
      <c r="U41" s="3"/>
      <c r="V41" s="3"/>
      <c r="W41" s="3"/>
      <c r="X41" s="3"/>
      <c r="Y41" s="3"/>
    </row>
    <row r="42" spans="1:25" ht="13">
      <c r="A42" s="3"/>
      <c r="B42" s="3"/>
      <c r="C42" s="3"/>
      <c r="D42" s="3"/>
      <c r="E42" s="3"/>
      <c r="F42" s="3"/>
      <c r="G42" s="3"/>
      <c r="H42" s="3"/>
      <c r="I42" s="3"/>
      <c r="J42" s="3"/>
      <c r="K42" s="3"/>
      <c r="L42" s="3"/>
      <c r="M42" s="3"/>
      <c r="N42" s="3"/>
      <c r="O42" s="3"/>
      <c r="P42" s="3"/>
      <c r="Q42" s="3"/>
      <c r="R42" s="3"/>
      <c r="S42" s="3"/>
      <c r="T42" s="3"/>
      <c r="U42" s="3"/>
      <c r="V42" s="3"/>
      <c r="W42" s="3"/>
      <c r="X42" s="3"/>
      <c r="Y42" s="3"/>
    </row>
    <row r="43" spans="1:25" ht="13">
      <c r="A43" s="3"/>
      <c r="B43" s="3"/>
      <c r="C43" s="3"/>
      <c r="D43" s="3"/>
      <c r="E43" s="3"/>
      <c r="F43" s="3"/>
      <c r="G43" s="3"/>
      <c r="H43" s="3"/>
      <c r="I43" s="3"/>
      <c r="J43" s="3"/>
      <c r="K43" s="3"/>
      <c r="L43" s="3"/>
      <c r="M43" s="3"/>
      <c r="N43" s="3"/>
      <c r="O43" s="3"/>
      <c r="P43" s="3"/>
      <c r="Q43" s="3"/>
      <c r="R43" s="3"/>
      <c r="S43" s="3"/>
      <c r="T43" s="3"/>
      <c r="U43" s="3"/>
      <c r="V43" s="3"/>
      <c r="W43" s="3"/>
      <c r="X43" s="3"/>
      <c r="Y43" s="3"/>
    </row>
    <row r="44" spans="1:25" ht="13">
      <c r="A44" s="3"/>
      <c r="B44" s="3"/>
      <c r="C44" s="3"/>
      <c r="D44" s="3"/>
      <c r="E44" s="3"/>
      <c r="F44" s="3"/>
      <c r="G44" s="3"/>
      <c r="H44" s="3"/>
      <c r="I44" s="3"/>
      <c r="J44" s="3"/>
      <c r="K44" s="3"/>
      <c r="L44" s="3"/>
      <c r="M44" s="3"/>
      <c r="N44" s="3"/>
      <c r="O44" s="3"/>
      <c r="P44" s="3"/>
      <c r="Q44" s="3"/>
      <c r="R44" s="3"/>
      <c r="S44" s="3"/>
      <c r="T44" s="3"/>
      <c r="U44" s="3"/>
      <c r="V44" s="3"/>
      <c r="W44" s="3"/>
      <c r="X44" s="3"/>
      <c r="Y44" s="3"/>
    </row>
    <row r="45" spans="1:25" ht="13">
      <c r="A45" s="3"/>
      <c r="B45" s="3"/>
      <c r="C45" s="3"/>
      <c r="D45" s="3"/>
      <c r="E45" s="3"/>
      <c r="F45" s="3"/>
      <c r="G45" s="3"/>
      <c r="H45" s="3"/>
      <c r="I45" s="3"/>
      <c r="J45" s="3"/>
      <c r="K45" s="3"/>
      <c r="L45" s="3"/>
      <c r="M45" s="3"/>
      <c r="N45" s="3"/>
      <c r="O45" s="3"/>
      <c r="P45" s="3"/>
      <c r="Q45" s="3"/>
      <c r="R45" s="3"/>
      <c r="S45" s="3"/>
      <c r="T45" s="3"/>
      <c r="U45" s="3"/>
      <c r="V45" s="3"/>
      <c r="W45" s="3"/>
      <c r="X45" s="3"/>
      <c r="Y45" s="3"/>
    </row>
    <row r="46" spans="1:25" ht="13">
      <c r="A46" s="3"/>
      <c r="B46" s="3"/>
      <c r="C46" s="3"/>
      <c r="D46" s="3"/>
      <c r="E46" s="3"/>
      <c r="F46" s="3"/>
      <c r="G46" s="3"/>
      <c r="H46" s="3"/>
      <c r="I46" s="3"/>
      <c r="J46" s="3"/>
      <c r="K46" s="3"/>
      <c r="L46" s="3"/>
      <c r="M46" s="3"/>
      <c r="N46" s="3"/>
      <c r="O46" s="3"/>
      <c r="P46" s="3"/>
      <c r="Q46" s="3"/>
      <c r="R46" s="3"/>
      <c r="S46" s="3"/>
      <c r="T46" s="3"/>
      <c r="U46" s="3"/>
      <c r="V46" s="3"/>
      <c r="W46" s="3"/>
      <c r="X46" s="3"/>
      <c r="Y46" s="3"/>
    </row>
    <row r="47" spans="1:25" ht="13">
      <c r="A47" s="3"/>
      <c r="B47" s="3"/>
      <c r="C47" s="3"/>
      <c r="D47" s="3"/>
      <c r="E47" s="3"/>
      <c r="F47" s="3"/>
      <c r="G47" s="3"/>
      <c r="H47" s="3"/>
      <c r="I47" s="3"/>
      <c r="J47" s="3"/>
      <c r="K47" s="3"/>
      <c r="L47" s="3"/>
      <c r="M47" s="3"/>
      <c r="N47" s="3"/>
      <c r="O47" s="3"/>
      <c r="P47" s="3"/>
      <c r="Q47" s="3"/>
      <c r="R47" s="3"/>
      <c r="S47" s="3"/>
      <c r="T47" s="3"/>
      <c r="U47" s="3"/>
      <c r="V47" s="3"/>
      <c r="W47" s="3"/>
      <c r="X47" s="3"/>
      <c r="Y47" s="3"/>
    </row>
    <row r="48" spans="1:25" ht="13">
      <c r="A48" s="3"/>
      <c r="B48" s="3"/>
      <c r="C48" s="3"/>
      <c r="D48" s="3"/>
      <c r="E48" s="3"/>
      <c r="F48" s="3"/>
      <c r="G48" s="3"/>
      <c r="H48" s="3"/>
      <c r="I48" s="3"/>
      <c r="J48" s="3"/>
      <c r="K48" s="3"/>
      <c r="L48" s="3"/>
      <c r="M48" s="3"/>
      <c r="N48" s="3"/>
      <c r="O48" s="3"/>
      <c r="P48" s="3"/>
      <c r="Q48" s="3"/>
      <c r="R48" s="3"/>
      <c r="S48" s="3"/>
      <c r="T48" s="3"/>
      <c r="U48" s="3"/>
      <c r="V48" s="3"/>
      <c r="W48" s="3"/>
      <c r="X48" s="3"/>
      <c r="Y48" s="3"/>
    </row>
    <row r="49" spans="1:25" ht="13">
      <c r="A49" s="3"/>
      <c r="B49" s="3"/>
      <c r="C49" s="3"/>
      <c r="D49" s="3"/>
      <c r="E49" s="3"/>
      <c r="F49" s="3"/>
      <c r="G49" s="3"/>
      <c r="H49" s="3"/>
      <c r="I49" s="3"/>
      <c r="J49" s="3"/>
      <c r="K49" s="3"/>
      <c r="L49" s="3"/>
      <c r="M49" s="3"/>
      <c r="N49" s="3"/>
      <c r="O49" s="3"/>
      <c r="P49" s="3"/>
      <c r="Q49" s="3"/>
      <c r="R49" s="3"/>
      <c r="S49" s="3"/>
      <c r="T49" s="3"/>
      <c r="U49" s="3"/>
      <c r="V49" s="3"/>
      <c r="W49" s="3"/>
      <c r="X49" s="3"/>
      <c r="Y49" s="3"/>
    </row>
    <row r="50" spans="1:25" ht="13">
      <c r="A50" s="3"/>
      <c r="B50" s="3"/>
      <c r="C50" s="3"/>
      <c r="D50" s="3"/>
      <c r="E50" s="3"/>
      <c r="F50" s="3"/>
      <c r="G50" s="3"/>
      <c r="H50" s="3"/>
      <c r="I50" s="3"/>
      <c r="J50" s="3"/>
      <c r="K50" s="3"/>
      <c r="L50" s="3"/>
      <c r="M50" s="3"/>
      <c r="N50" s="3"/>
      <c r="O50" s="3"/>
      <c r="P50" s="3"/>
      <c r="Q50" s="3"/>
      <c r="R50" s="3"/>
      <c r="S50" s="3"/>
      <c r="T50" s="3"/>
      <c r="U50" s="3"/>
      <c r="V50" s="3"/>
      <c r="W50" s="3"/>
      <c r="X50" s="3"/>
      <c r="Y50" s="3"/>
    </row>
    <row r="51" spans="1:25" ht="13">
      <c r="A51" s="3"/>
      <c r="B51" s="3"/>
      <c r="C51" s="3"/>
      <c r="D51" s="3"/>
      <c r="E51" s="3"/>
      <c r="F51" s="3"/>
      <c r="G51" s="3"/>
      <c r="H51" s="3"/>
      <c r="I51" s="3"/>
      <c r="J51" s="3"/>
      <c r="K51" s="3"/>
      <c r="L51" s="3"/>
      <c r="M51" s="3"/>
      <c r="N51" s="3"/>
      <c r="O51" s="3"/>
      <c r="P51" s="3"/>
      <c r="Q51" s="3"/>
      <c r="R51" s="3"/>
      <c r="S51" s="3"/>
      <c r="T51" s="3"/>
      <c r="U51" s="3"/>
      <c r="V51" s="3"/>
      <c r="W51" s="3"/>
      <c r="X51" s="3"/>
      <c r="Y51" s="3"/>
    </row>
    <row r="52" spans="1:25" ht="13">
      <c r="A52" s="3"/>
      <c r="B52" s="3"/>
      <c r="C52" s="3"/>
      <c r="D52" s="3"/>
      <c r="E52" s="3"/>
      <c r="F52" s="3"/>
      <c r="G52" s="3"/>
      <c r="H52" s="3"/>
      <c r="I52" s="3"/>
      <c r="J52" s="3"/>
      <c r="K52" s="3"/>
      <c r="L52" s="3"/>
      <c r="M52" s="3"/>
      <c r="N52" s="3"/>
      <c r="O52" s="3"/>
      <c r="P52" s="3"/>
      <c r="Q52" s="3"/>
      <c r="R52" s="3"/>
      <c r="S52" s="3"/>
      <c r="T52" s="3"/>
      <c r="U52" s="3"/>
      <c r="V52" s="3"/>
      <c r="W52" s="3"/>
      <c r="X52" s="3"/>
      <c r="Y52" s="3"/>
    </row>
    <row r="53" spans="1:25" ht="13">
      <c r="A53" s="3"/>
      <c r="B53" s="3"/>
      <c r="C53" s="3"/>
      <c r="D53" s="3"/>
      <c r="E53" s="3"/>
      <c r="F53" s="3"/>
      <c r="G53" s="3"/>
      <c r="H53" s="3"/>
      <c r="I53" s="3"/>
      <c r="J53" s="3"/>
      <c r="K53" s="3"/>
      <c r="L53" s="3"/>
      <c r="M53" s="3"/>
      <c r="N53" s="3"/>
      <c r="O53" s="3"/>
      <c r="P53" s="3"/>
      <c r="Q53" s="3"/>
      <c r="R53" s="3"/>
      <c r="S53" s="3"/>
      <c r="T53" s="3"/>
      <c r="U53" s="3"/>
      <c r="V53" s="3"/>
      <c r="W53" s="3"/>
      <c r="X53" s="3"/>
      <c r="Y53" s="3"/>
    </row>
    <row r="54" spans="1:25" ht="13">
      <c r="A54" s="3"/>
      <c r="B54" s="3"/>
      <c r="C54" s="3"/>
      <c r="D54" s="3"/>
      <c r="E54" s="3"/>
      <c r="F54" s="3"/>
      <c r="G54" s="3"/>
      <c r="H54" s="3"/>
      <c r="I54" s="3"/>
      <c r="J54" s="3"/>
      <c r="K54" s="3"/>
      <c r="L54" s="3"/>
      <c r="M54" s="3"/>
      <c r="N54" s="3"/>
      <c r="O54" s="3"/>
      <c r="P54" s="3"/>
      <c r="Q54" s="3"/>
      <c r="R54" s="3"/>
      <c r="S54" s="3"/>
      <c r="T54" s="3"/>
      <c r="U54" s="3"/>
      <c r="V54" s="3"/>
      <c r="W54" s="3"/>
      <c r="X54" s="3"/>
      <c r="Y54" s="3"/>
    </row>
    <row r="55" spans="1:25" ht="13">
      <c r="A55" s="3"/>
      <c r="B55" s="3"/>
      <c r="C55" s="3"/>
      <c r="D55" s="3"/>
      <c r="E55" s="3"/>
      <c r="F55" s="3"/>
      <c r="G55" s="3"/>
      <c r="H55" s="3"/>
      <c r="I55" s="3"/>
      <c r="J55" s="3"/>
      <c r="K55" s="3"/>
      <c r="L55" s="3"/>
      <c r="M55" s="3"/>
      <c r="N55" s="3"/>
      <c r="O55" s="3"/>
      <c r="P55" s="3"/>
      <c r="Q55" s="3"/>
      <c r="R55" s="3"/>
      <c r="S55" s="3"/>
      <c r="T55" s="3"/>
      <c r="U55" s="3"/>
      <c r="V55" s="3"/>
      <c r="W55" s="3"/>
      <c r="X55" s="3"/>
      <c r="Y55" s="3"/>
    </row>
    <row r="56" spans="1:25" ht="13">
      <c r="A56" s="3"/>
      <c r="B56" s="3"/>
      <c r="C56" s="3"/>
      <c r="D56" s="3"/>
      <c r="E56" s="3"/>
      <c r="F56" s="3"/>
      <c r="G56" s="3"/>
      <c r="H56" s="3"/>
      <c r="I56" s="3"/>
      <c r="J56" s="3"/>
      <c r="K56" s="3"/>
      <c r="L56" s="3"/>
      <c r="M56" s="3"/>
      <c r="N56" s="3"/>
      <c r="O56" s="3"/>
      <c r="P56" s="3"/>
      <c r="Q56" s="3"/>
      <c r="R56" s="3"/>
      <c r="S56" s="3"/>
      <c r="T56" s="3"/>
      <c r="U56" s="3"/>
      <c r="V56" s="3"/>
      <c r="W56" s="3"/>
      <c r="X56" s="3"/>
      <c r="Y56" s="3"/>
    </row>
    <row r="57" spans="1:25" ht="13">
      <c r="A57" s="3"/>
      <c r="B57" s="3"/>
      <c r="C57" s="3"/>
      <c r="D57" s="3"/>
      <c r="E57" s="3"/>
      <c r="F57" s="3"/>
      <c r="G57" s="3"/>
      <c r="H57" s="3"/>
      <c r="I57" s="3"/>
      <c r="J57" s="3"/>
      <c r="K57" s="3"/>
      <c r="L57" s="3"/>
      <c r="M57" s="3"/>
      <c r="N57" s="3"/>
      <c r="O57" s="3"/>
      <c r="P57" s="3"/>
      <c r="Q57" s="3"/>
      <c r="R57" s="3"/>
      <c r="S57" s="3"/>
      <c r="T57" s="3"/>
      <c r="U57" s="3"/>
      <c r="V57" s="3"/>
      <c r="W57" s="3"/>
      <c r="X57" s="3"/>
      <c r="Y57" s="3"/>
    </row>
    <row r="58" spans="1:25" ht="13">
      <c r="A58" s="3"/>
      <c r="B58" s="3"/>
      <c r="C58" s="3"/>
      <c r="D58" s="3"/>
      <c r="E58" s="3"/>
      <c r="F58" s="3"/>
      <c r="G58" s="3"/>
      <c r="H58" s="3"/>
      <c r="I58" s="3"/>
      <c r="J58" s="3"/>
      <c r="K58" s="3"/>
      <c r="L58" s="3"/>
      <c r="M58" s="3"/>
      <c r="N58" s="3"/>
      <c r="O58" s="3"/>
      <c r="P58" s="3"/>
      <c r="Q58" s="3"/>
      <c r="R58" s="3"/>
      <c r="S58" s="3"/>
      <c r="T58" s="3"/>
      <c r="U58" s="3"/>
      <c r="V58" s="3"/>
      <c r="W58" s="3"/>
      <c r="X58" s="3"/>
      <c r="Y58" s="3"/>
    </row>
    <row r="59" spans="1:25" ht="13">
      <c r="A59" s="3"/>
      <c r="B59" s="3"/>
      <c r="C59" s="3"/>
      <c r="D59" s="3"/>
      <c r="E59" s="3"/>
      <c r="F59" s="3"/>
      <c r="G59" s="3"/>
      <c r="H59" s="3"/>
      <c r="I59" s="3"/>
      <c r="J59" s="3"/>
      <c r="K59" s="3"/>
      <c r="L59" s="3"/>
      <c r="M59" s="3"/>
      <c r="N59" s="3"/>
      <c r="O59" s="3"/>
      <c r="P59" s="3"/>
      <c r="Q59" s="3"/>
      <c r="R59" s="3"/>
      <c r="S59" s="3"/>
      <c r="T59" s="3"/>
      <c r="U59" s="3"/>
      <c r="V59" s="3"/>
      <c r="W59" s="3"/>
      <c r="X59" s="3"/>
      <c r="Y59" s="3"/>
    </row>
    <row r="60" spans="1:25" ht="13">
      <c r="A60" s="3"/>
      <c r="B60" s="3"/>
      <c r="C60" s="3"/>
      <c r="D60" s="3"/>
      <c r="E60" s="3"/>
      <c r="F60" s="3"/>
      <c r="G60" s="3"/>
      <c r="H60" s="3"/>
      <c r="I60" s="3"/>
      <c r="J60" s="3"/>
      <c r="K60" s="3"/>
      <c r="L60" s="3"/>
      <c r="M60" s="3"/>
      <c r="N60" s="3"/>
      <c r="O60" s="3"/>
      <c r="P60" s="3"/>
      <c r="Q60" s="3"/>
      <c r="R60" s="3"/>
      <c r="S60" s="3"/>
      <c r="T60" s="3"/>
      <c r="U60" s="3"/>
      <c r="V60" s="3"/>
      <c r="W60" s="3"/>
      <c r="X60" s="3"/>
      <c r="Y60" s="3"/>
    </row>
    <row r="61" spans="1:25" ht="13">
      <c r="A61" s="3"/>
      <c r="B61" s="3"/>
      <c r="C61" s="3"/>
      <c r="D61" s="3"/>
      <c r="E61" s="3"/>
      <c r="F61" s="3"/>
      <c r="G61" s="3"/>
      <c r="H61" s="3"/>
      <c r="I61" s="3"/>
      <c r="J61" s="3"/>
      <c r="K61" s="3"/>
      <c r="L61" s="3"/>
      <c r="M61" s="3"/>
      <c r="N61" s="3"/>
      <c r="O61" s="3"/>
      <c r="P61" s="3"/>
      <c r="Q61" s="3"/>
      <c r="R61" s="3"/>
      <c r="S61" s="3"/>
      <c r="T61" s="3"/>
      <c r="U61" s="3"/>
      <c r="V61" s="3"/>
      <c r="W61" s="3"/>
      <c r="X61" s="3"/>
      <c r="Y61" s="3"/>
    </row>
    <row r="62" spans="1:25" ht="13">
      <c r="A62" s="3"/>
      <c r="B62" s="3"/>
      <c r="C62" s="3"/>
      <c r="D62" s="3"/>
      <c r="E62" s="3"/>
      <c r="F62" s="3"/>
      <c r="G62" s="3"/>
      <c r="H62" s="3"/>
      <c r="I62" s="3"/>
      <c r="J62" s="3"/>
      <c r="K62" s="3"/>
      <c r="L62" s="3"/>
      <c r="M62" s="3"/>
      <c r="N62" s="3"/>
      <c r="O62" s="3"/>
      <c r="P62" s="3"/>
      <c r="Q62" s="3"/>
      <c r="R62" s="3"/>
      <c r="S62" s="3"/>
      <c r="T62" s="3"/>
      <c r="U62" s="3"/>
      <c r="V62" s="3"/>
      <c r="W62" s="3"/>
      <c r="X62" s="3"/>
      <c r="Y62" s="3"/>
    </row>
    <row r="63" spans="1:25" ht="13">
      <c r="A63" s="3"/>
      <c r="B63" s="3"/>
      <c r="C63" s="3"/>
      <c r="D63" s="3"/>
      <c r="E63" s="3"/>
      <c r="F63" s="3"/>
      <c r="G63" s="3"/>
      <c r="H63" s="3"/>
      <c r="I63" s="3"/>
      <c r="J63" s="3"/>
      <c r="K63" s="3"/>
      <c r="L63" s="3"/>
      <c r="M63" s="3"/>
      <c r="N63" s="3"/>
      <c r="O63" s="3"/>
      <c r="P63" s="3"/>
      <c r="Q63" s="3"/>
      <c r="R63" s="3"/>
      <c r="S63" s="3"/>
      <c r="T63" s="3"/>
      <c r="U63" s="3"/>
      <c r="V63" s="3"/>
      <c r="W63" s="3"/>
      <c r="X63" s="3"/>
      <c r="Y63" s="3"/>
    </row>
    <row r="64" spans="1:25" ht="13">
      <c r="A64" s="3"/>
      <c r="B64" s="3"/>
      <c r="C64" s="3"/>
      <c r="D64" s="3"/>
      <c r="E64" s="3"/>
      <c r="F64" s="3"/>
      <c r="G64" s="3"/>
      <c r="H64" s="3"/>
      <c r="I64" s="3"/>
      <c r="J64" s="3"/>
      <c r="K64" s="3"/>
      <c r="L64" s="3"/>
      <c r="M64" s="3"/>
      <c r="N64" s="3"/>
      <c r="O64" s="3"/>
      <c r="P64" s="3"/>
      <c r="Q64" s="3"/>
      <c r="R64" s="3"/>
      <c r="S64" s="3"/>
      <c r="T64" s="3"/>
      <c r="U64" s="3"/>
      <c r="V64" s="3"/>
      <c r="W64" s="3"/>
      <c r="X64" s="3"/>
      <c r="Y64" s="3"/>
    </row>
    <row r="65" spans="1:25" ht="13">
      <c r="A65" s="3"/>
      <c r="B65" s="3"/>
      <c r="C65" s="3"/>
      <c r="D65" s="3"/>
      <c r="E65" s="3"/>
      <c r="F65" s="3"/>
      <c r="G65" s="3"/>
      <c r="H65" s="3"/>
      <c r="I65" s="3"/>
      <c r="J65" s="3"/>
      <c r="K65" s="3"/>
      <c r="L65" s="3"/>
      <c r="M65" s="3"/>
      <c r="N65" s="3"/>
      <c r="O65" s="3"/>
      <c r="P65" s="3"/>
      <c r="Q65" s="3"/>
      <c r="R65" s="3"/>
      <c r="S65" s="3"/>
      <c r="T65" s="3"/>
      <c r="U65" s="3"/>
      <c r="V65" s="3"/>
      <c r="W65" s="3"/>
      <c r="X65" s="3"/>
      <c r="Y65" s="3"/>
    </row>
    <row r="66" spans="1:25" ht="13">
      <c r="A66" s="3"/>
      <c r="B66" s="3"/>
      <c r="C66" s="3"/>
      <c r="D66" s="3"/>
      <c r="E66" s="3"/>
      <c r="F66" s="3"/>
      <c r="G66" s="3"/>
      <c r="H66" s="3"/>
      <c r="I66" s="3"/>
      <c r="J66" s="3"/>
      <c r="K66" s="3"/>
      <c r="L66" s="3"/>
      <c r="M66" s="3"/>
      <c r="N66" s="3"/>
      <c r="O66" s="3"/>
      <c r="P66" s="3"/>
      <c r="Q66" s="3"/>
      <c r="R66" s="3"/>
      <c r="S66" s="3"/>
      <c r="T66" s="3"/>
      <c r="U66" s="3"/>
      <c r="V66" s="3"/>
      <c r="W66" s="3"/>
      <c r="X66" s="3"/>
      <c r="Y66" s="3"/>
    </row>
    <row r="67" spans="1:25" ht="13">
      <c r="A67" s="3"/>
      <c r="B67" s="3"/>
      <c r="C67" s="3"/>
      <c r="D67" s="3"/>
      <c r="E67" s="3"/>
      <c r="F67" s="3"/>
      <c r="G67" s="3"/>
      <c r="H67" s="3"/>
      <c r="I67" s="3"/>
      <c r="J67" s="3"/>
      <c r="K67" s="3"/>
      <c r="L67" s="3"/>
      <c r="M67" s="3"/>
      <c r="N67" s="3"/>
      <c r="O67" s="3"/>
      <c r="P67" s="3"/>
      <c r="Q67" s="3"/>
      <c r="R67" s="3"/>
      <c r="S67" s="3"/>
      <c r="T67" s="3"/>
      <c r="U67" s="3"/>
      <c r="V67" s="3"/>
      <c r="W67" s="3"/>
      <c r="X67" s="3"/>
      <c r="Y67" s="3"/>
    </row>
    <row r="68" spans="1:25" ht="13">
      <c r="A68" s="3"/>
      <c r="B68" s="3"/>
      <c r="C68" s="3"/>
      <c r="D68" s="3"/>
      <c r="E68" s="3"/>
      <c r="F68" s="3"/>
      <c r="G68" s="3"/>
      <c r="H68" s="3"/>
      <c r="I68" s="3"/>
      <c r="J68" s="3"/>
      <c r="K68" s="3"/>
      <c r="L68" s="3"/>
      <c r="M68" s="3"/>
      <c r="N68" s="3"/>
      <c r="O68" s="3"/>
      <c r="P68" s="3"/>
      <c r="Q68" s="3"/>
      <c r="R68" s="3"/>
      <c r="S68" s="3"/>
      <c r="T68" s="3"/>
      <c r="U68" s="3"/>
      <c r="V68" s="3"/>
      <c r="W68" s="3"/>
      <c r="X68" s="3"/>
      <c r="Y68" s="3"/>
    </row>
    <row r="69" spans="1:25" ht="13">
      <c r="A69" s="3"/>
      <c r="B69" s="3"/>
      <c r="C69" s="3"/>
      <c r="D69" s="3"/>
      <c r="E69" s="3"/>
      <c r="F69" s="3"/>
      <c r="G69" s="3"/>
      <c r="H69" s="3"/>
      <c r="I69" s="3"/>
      <c r="J69" s="3"/>
      <c r="K69" s="3"/>
      <c r="L69" s="3"/>
      <c r="M69" s="3"/>
      <c r="N69" s="3"/>
      <c r="O69" s="3"/>
      <c r="P69" s="3"/>
      <c r="Q69" s="3"/>
      <c r="R69" s="3"/>
      <c r="S69" s="3"/>
      <c r="T69" s="3"/>
      <c r="U69" s="3"/>
      <c r="V69" s="3"/>
      <c r="W69" s="3"/>
      <c r="X69" s="3"/>
      <c r="Y69" s="3"/>
    </row>
    <row r="70" spans="1:25" ht="13">
      <c r="A70" s="3"/>
      <c r="B70" s="3"/>
      <c r="C70" s="3"/>
      <c r="D70" s="3"/>
      <c r="E70" s="3"/>
      <c r="F70" s="3"/>
      <c r="G70" s="3"/>
      <c r="H70" s="3"/>
      <c r="I70" s="3"/>
      <c r="J70" s="3"/>
      <c r="K70" s="3"/>
      <c r="L70" s="3"/>
      <c r="M70" s="3"/>
      <c r="N70" s="3"/>
      <c r="O70" s="3"/>
      <c r="P70" s="3"/>
      <c r="Q70" s="3"/>
      <c r="R70" s="3"/>
      <c r="S70" s="3"/>
      <c r="T70" s="3"/>
      <c r="U70" s="3"/>
      <c r="V70" s="3"/>
      <c r="W70" s="3"/>
      <c r="X70" s="3"/>
      <c r="Y70" s="3"/>
    </row>
    <row r="71" spans="1:25" ht="13">
      <c r="A71" s="3"/>
      <c r="B71" s="3"/>
      <c r="C71" s="3"/>
      <c r="D71" s="3"/>
      <c r="E71" s="3"/>
      <c r="F71" s="3"/>
      <c r="G71" s="3"/>
      <c r="H71" s="3"/>
      <c r="I71" s="3"/>
      <c r="J71" s="3"/>
      <c r="K71" s="3"/>
      <c r="L71" s="3"/>
      <c r="M71" s="3"/>
      <c r="N71" s="3"/>
      <c r="O71" s="3"/>
      <c r="P71" s="3"/>
      <c r="Q71" s="3"/>
      <c r="R71" s="3"/>
      <c r="S71" s="3"/>
      <c r="T71" s="3"/>
      <c r="U71" s="3"/>
      <c r="V71" s="3"/>
      <c r="W71" s="3"/>
      <c r="X71" s="3"/>
      <c r="Y71" s="3"/>
    </row>
    <row r="72" spans="1:25" ht="13">
      <c r="A72" s="3"/>
      <c r="B72" s="3"/>
      <c r="C72" s="3"/>
      <c r="D72" s="3"/>
      <c r="E72" s="3"/>
      <c r="F72" s="3"/>
      <c r="G72" s="3"/>
      <c r="H72" s="3"/>
      <c r="I72" s="3"/>
      <c r="J72" s="3"/>
      <c r="K72" s="3"/>
      <c r="L72" s="3"/>
      <c r="M72" s="3"/>
      <c r="N72" s="3"/>
      <c r="O72" s="3"/>
      <c r="P72" s="3"/>
      <c r="Q72" s="3"/>
      <c r="R72" s="3"/>
      <c r="S72" s="3"/>
      <c r="T72" s="3"/>
      <c r="U72" s="3"/>
      <c r="V72" s="3"/>
      <c r="W72" s="3"/>
      <c r="X72" s="3"/>
      <c r="Y72" s="3"/>
    </row>
    <row r="73" spans="1:25" ht="13">
      <c r="A73" s="3"/>
      <c r="B73" s="3"/>
      <c r="C73" s="3"/>
      <c r="D73" s="3"/>
      <c r="E73" s="3"/>
      <c r="F73" s="3"/>
      <c r="G73" s="3"/>
      <c r="H73" s="3"/>
      <c r="I73" s="3"/>
      <c r="J73" s="3"/>
      <c r="K73" s="3"/>
      <c r="L73" s="3"/>
      <c r="M73" s="3"/>
      <c r="N73" s="3"/>
      <c r="O73" s="3"/>
      <c r="P73" s="3"/>
      <c r="Q73" s="3"/>
      <c r="R73" s="3"/>
      <c r="S73" s="3"/>
      <c r="T73" s="3"/>
      <c r="U73" s="3"/>
      <c r="V73" s="3"/>
      <c r="W73" s="3"/>
      <c r="X73" s="3"/>
      <c r="Y73" s="3"/>
    </row>
    <row r="74" spans="1:25" ht="13">
      <c r="A74" s="3"/>
      <c r="B74" s="3"/>
      <c r="C74" s="3"/>
      <c r="D74" s="3"/>
      <c r="E74" s="3"/>
      <c r="F74" s="3"/>
      <c r="G74" s="3"/>
      <c r="H74" s="3"/>
      <c r="I74" s="3"/>
      <c r="J74" s="3"/>
      <c r="K74" s="3"/>
      <c r="L74" s="3"/>
      <c r="M74" s="3"/>
      <c r="N74" s="3"/>
      <c r="O74" s="3"/>
      <c r="P74" s="3"/>
      <c r="Q74" s="3"/>
      <c r="R74" s="3"/>
      <c r="S74" s="3"/>
      <c r="T74" s="3"/>
      <c r="U74" s="3"/>
      <c r="V74" s="3"/>
      <c r="W74" s="3"/>
      <c r="X74" s="3"/>
      <c r="Y74" s="3"/>
    </row>
    <row r="75" spans="1:25" ht="13">
      <c r="A75" s="3"/>
      <c r="B75" s="3"/>
      <c r="C75" s="3"/>
      <c r="D75" s="3"/>
      <c r="E75" s="3"/>
      <c r="F75" s="3"/>
      <c r="G75" s="3"/>
      <c r="H75" s="3"/>
      <c r="I75" s="3"/>
      <c r="J75" s="3"/>
      <c r="K75" s="3"/>
      <c r="L75" s="3"/>
      <c r="M75" s="3"/>
      <c r="N75" s="3"/>
      <c r="O75" s="3"/>
      <c r="P75" s="3"/>
      <c r="Q75" s="3"/>
      <c r="R75" s="3"/>
      <c r="S75" s="3"/>
      <c r="T75" s="3"/>
      <c r="U75" s="3"/>
      <c r="V75" s="3"/>
      <c r="W75" s="3"/>
      <c r="X75" s="3"/>
      <c r="Y75" s="3"/>
    </row>
    <row r="76" spans="1:25" ht="13">
      <c r="A76" s="3"/>
      <c r="B76" s="3"/>
      <c r="C76" s="3"/>
      <c r="D76" s="3"/>
      <c r="E76" s="3"/>
      <c r="F76" s="3"/>
      <c r="G76" s="3"/>
      <c r="H76" s="3"/>
      <c r="I76" s="3"/>
      <c r="J76" s="3"/>
      <c r="K76" s="3"/>
      <c r="L76" s="3"/>
      <c r="M76" s="3"/>
      <c r="N76" s="3"/>
      <c r="O76" s="3"/>
      <c r="P76" s="3"/>
      <c r="Q76" s="3"/>
      <c r="R76" s="3"/>
      <c r="S76" s="3"/>
      <c r="T76" s="3"/>
      <c r="U76" s="3"/>
      <c r="V76" s="3"/>
      <c r="W76" s="3"/>
      <c r="X76" s="3"/>
      <c r="Y76" s="3"/>
    </row>
    <row r="77" spans="1:25" ht="13">
      <c r="A77" s="3"/>
      <c r="B77" s="3"/>
      <c r="C77" s="3"/>
      <c r="D77" s="3"/>
      <c r="E77" s="3"/>
      <c r="F77" s="3"/>
      <c r="G77" s="3"/>
      <c r="H77" s="3"/>
      <c r="I77" s="3"/>
      <c r="J77" s="3"/>
      <c r="K77" s="3"/>
      <c r="L77" s="3"/>
      <c r="M77" s="3"/>
      <c r="N77" s="3"/>
      <c r="O77" s="3"/>
      <c r="P77" s="3"/>
      <c r="Q77" s="3"/>
      <c r="R77" s="3"/>
      <c r="S77" s="3"/>
      <c r="T77" s="3"/>
      <c r="U77" s="3"/>
      <c r="V77" s="3"/>
      <c r="W77" s="3"/>
      <c r="X77" s="3"/>
      <c r="Y77" s="3"/>
    </row>
    <row r="78" spans="1:25" ht="13">
      <c r="A78" s="3"/>
      <c r="B78" s="3"/>
      <c r="C78" s="3"/>
      <c r="D78" s="3"/>
      <c r="E78" s="3"/>
      <c r="F78" s="3"/>
      <c r="G78" s="3"/>
      <c r="H78" s="3"/>
      <c r="I78" s="3"/>
      <c r="J78" s="3"/>
      <c r="K78" s="3"/>
      <c r="L78" s="3"/>
      <c r="M78" s="3"/>
      <c r="N78" s="3"/>
      <c r="O78" s="3"/>
      <c r="P78" s="3"/>
      <c r="Q78" s="3"/>
      <c r="R78" s="3"/>
      <c r="S78" s="3"/>
      <c r="T78" s="3"/>
      <c r="U78" s="3"/>
      <c r="V78" s="3"/>
      <c r="W78" s="3"/>
      <c r="X78" s="3"/>
      <c r="Y78" s="3"/>
    </row>
    <row r="79" spans="1:25" ht="13">
      <c r="A79" s="3"/>
      <c r="B79" s="3"/>
      <c r="C79" s="3"/>
      <c r="D79" s="3"/>
      <c r="E79" s="3"/>
      <c r="F79" s="3"/>
      <c r="G79" s="3"/>
      <c r="H79" s="3"/>
      <c r="I79" s="3"/>
      <c r="J79" s="3"/>
      <c r="K79" s="3"/>
      <c r="L79" s="3"/>
      <c r="M79" s="3"/>
      <c r="N79" s="3"/>
      <c r="O79" s="3"/>
      <c r="P79" s="3"/>
      <c r="Q79" s="3"/>
      <c r="R79" s="3"/>
      <c r="S79" s="3"/>
      <c r="T79" s="3"/>
      <c r="U79" s="3"/>
      <c r="V79" s="3"/>
      <c r="W79" s="3"/>
      <c r="X79" s="3"/>
      <c r="Y79" s="3"/>
    </row>
    <row r="80" spans="1:25" ht="13">
      <c r="A80" s="3"/>
      <c r="B80" s="3"/>
      <c r="C80" s="3"/>
      <c r="D80" s="3"/>
      <c r="E80" s="3"/>
      <c r="F80" s="3"/>
      <c r="G80" s="3"/>
      <c r="H80" s="3"/>
      <c r="I80" s="3"/>
      <c r="J80" s="3"/>
      <c r="K80" s="3"/>
      <c r="L80" s="3"/>
      <c r="M80" s="3"/>
      <c r="N80" s="3"/>
      <c r="O80" s="3"/>
      <c r="P80" s="3"/>
      <c r="Q80" s="3"/>
      <c r="R80" s="3"/>
      <c r="S80" s="3"/>
      <c r="T80" s="3"/>
      <c r="U80" s="3"/>
      <c r="V80" s="3"/>
      <c r="W80" s="3"/>
      <c r="X80" s="3"/>
      <c r="Y80" s="3"/>
    </row>
    <row r="81" spans="1:25" ht="13">
      <c r="A81" s="3"/>
      <c r="B81" s="3"/>
      <c r="C81" s="3"/>
      <c r="D81" s="3"/>
      <c r="E81" s="3"/>
      <c r="F81" s="3"/>
      <c r="G81" s="3"/>
      <c r="H81" s="3"/>
      <c r="I81" s="3"/>
      <c r="J81" s="3"/>
      <c r="K81" s="3"/>
      <c r="L81" s="3"/>
      <c r="M81" s="3"/>
      <c r="N81" s="3"/>
      <c r="O81" s="3"/>
      <c r="P81" s="3"/>
      <c r="Q81" s="3"/>
      <c r="R81" s="3"/>
      <c r="S81" s="3"/>
      <c r="T81" s="3"/>
      <c r="U81" s="3"/>
      <c r="V81" s="3"/>
      <c r="W81" s="3"/>
      <c r="X81" s="3"/>
      <c r="Y81" s="3"/>
    </row>
    <row r="82" spans="1:25" ht="13">
      <c r="A82" s="3"/>
      <c r="B82" s="3"/>
      <c r="C82" s="3"/>
      <c r="D82" s="3"/>
      <c r="E82" s="3"/>
      <c r="F82" s="3"/>
      <c r="G82" s="3"/>
      <c r="H82" s="3"/>
      <c r="I82" s="3"/>
      <c r="J82" s="3"/>
      <c r="K82" s="3"/>
      <c r="L82" s="3"/>
      <c r="M82" s="3"/>
      <c r="N82" s="3"/>
      <c r="O82" s="3"/>
      <c r="P82" s="3"/>
      <c r="Q82" s="3"/>
      <c r="R82" s="3"/>
      <c r="S82" s="3"/>
      <c r="T82" s="3"/>
      <c r="U82" s="3"/>
      <c r="V82" s="3"/>
      <c r="W82" s="3"/>
      <c r="X82" s="3"/>
      <c r="Y82" s="3"/>
    </row>
    <row r="83" spans="1:25" ht="13">
      <c r="A83" s="3"/>
      <c r="B83" s="3"/>
      <c r="C83" s="3"/>
      <c r="D83" s="3"/>
      <c r="E83" s="3"/>
      <c r="F83" s="3"/>
      <c r="G83" s="3"/>
      <c r="H83" s="3"/>
      <c r="I83" s="3"/>
      <c r="J83" s="3"/>
      <c r="K83" s="3"/>
      <c r="L83" s="3"/>
      <c r="M83" s="3"/>
      <c r="N83" s="3"/>
      <c r="O83" s="3"/>
      <c r="P83" s="3"/>
      <c r="Q83" s="3"/>
      <c r="R83" s="3"/>
      <c r="S83" s="3"/>
      <c r="T83" s="3"/>
      <c r="U83" s="3"/>
      <c r="V83" s="3"/>
      <c r="W83" s="3"/>
      <c r="X83" s="3"/>
      <c r="Y83" s="3"/>
    </row>
    <row r="84" spans="1:25" ht="13">
      <c r="A84" s="3"/>
      <c r="B84" s="3"/>
      <c r="C84" s="3"/>
      <c r="D84" s="3"/>
      <c r="E84" s="3"/>
      <c r="F84" s="3"/>
      <c r="G84" s="3"/>
      <c r="H84" s="3"/>
      <c r="I84" s="3"/>
      <c r="J84" s="3"/>
      <c r="K84" s="3"/>
      <c r="L84" s="3"/>
      <c r="M84" s="3"/>
      <c r="N84" s="3"/>
      <c r="O84" s="3"/>
      <c r="P84" s="3"/>
      <c r="Q84" s="3"/>
      <c r="R84" s="3"/>
      <c r="S84" s="3"/>
      <c r="T84" s="3"/>
      <c r="U84" s="3"/>
      <c r="V84" s="3"/>
      <c r="W84" s="3"/>
      <c r="X84" s="3"/>
      <c r="Y84" s="3"/>
    </row>
    <row r="85" spans="1:25" ht="13">
      <c r="A85" s="3"/>
      <c r="B85" s="3"/>
      <c r="C85" s="3"/>
      <c r="D85" s="3"/>
      <c r="E85" s="3"/>
      <c r="F85" s="3"/>
      <c r="G85" s="3"/>
      <c r="H85" s="3"/>
      <c r="I85" s="3"/>
      <c r="J85" s="3"/>
      <c r="K85" s="3"/>
      <c r="L85" s="3"/>
      <c r="M85" s="3"/>
      <c r="N85" s="3"/>
      <c r="O85" s="3"/>
      <c r="P85" s="3"/>
      <c r="Q85" s="3"/>
      <c r="R85" s="3"/>
      <c r="S85" s="3"/>
      <c r="T85" s="3"/>
      <c r="U85" s="3"/>
      <c r="V85" s="3"/>
      <c r="W85" s="3"/>
      <c r="X85" s="3"/>
      <c r="Y85" s="3"/>
    </row>
    <row r="86" spans="1:25" ht="13">
      <c r="A86" s="3"/>
      <c r="B86" s="3"/>
      <c r="C86" s="3"/>
      <c r="D86" s="3"/>
      <c r="E86" s="3"/>
      <c r="F86" s="3"/>
      <c r="G86" s="3"/>
      <c r="H86" s="3"/>
      <c r="I86" s="3"/>
      <c r="J86" s="3"/>
      <c r="K86" s="3"/>
      <c r="L86" s="3"/>
      <c r="M86" s="3"/>
      <c r="N86" s="3"/>
      <c r="O86" s="3"/>
      <c r="P86" s="3"/>
      <c r="Q86" s="3"/>
      <c r="R86" s="3"/>
      <c r="S86" s="3"/>
      <c r="T86" s="3"/>
      <c r="U86" s="3"/>
      <c r="V86" s="3"/>
      <c r="W86" s="3"/>
      <c r="X86" s="3"/>
      <c r="Y86" s="3"/>
    </row>
    <row r="87" spans="1:25" ht="13">
      <c r="A87" s="3"/>
      <c r="B87" s="3"/>
      <c r="C87" s="3"/>
      <c r="D87" s="3"/>
      <c r="E87" s="3"/>
      <c r="F87" s="3"/>
      <c r="G87" s="3"/>
      <c r="H87" s="3"/>
      <c r="I87" s="3"/>
      <c r="J87" s="3"/>
      <c r="K87" s="3"/>
      <c r="L87" s="3"/>
      <c r="M87" s="3"/>
      <c r="N87" s="3"/>
      <c r="O87" s="3"/>
      <c r="P87" s="3"/>
      <c r="Q87" s="3"/>
      <c r="R87" s="3"/>
      <c r="S87" s="3"/>
      <c r="T87" s="3"/>
      <c r="U87" s="3"/>
      <c r="V87" s="3"/>
      <c r="W87" s="3"/>
      <c r="X87" s="3"/>
      <c r="Y87" s="3"/>
    </row>
    <row r="88" spans="1:25" ht="13">
      <c r="A88" s="3"/>
      <c r="B88" s="3"/>
      <c r="C88" s="3"/>
      <c r="D88" s="3"/>
      <c r="E88" s="3"/>
      <c r="F88" s="3"/>
      <c r="G88" s="3"/>
      <c r="H88" s="3"/>
      <c r="I88" s="3"/>
      <c r="J88" s="3"/>
      <c r="K88" s="3"/>
      <c r="L88" s="3"/>
      <c r="M88" s="3"/>
      <c r="N88" s="3"/>
      <c r="O88" s="3"/>
      <c r="P88" s="3"/>
      <c r="Q88" s="3"/>
      <c r="R88" s="3"/>
      <c r="S88" s="3"/>
      <c r="T88" s="3"/>
      <c r="U88" s="3"/>
      <c r="V88" s="3"/>
      <c r="W88" s="3"/>
      <c r="X88" s="3"/>
      <c r="Y88" s="3"/>
    </row>
    <row r="89" spans="1:25" ht="13">
      <c r="A89" s="3"/>
      <c r="B89" s="3"/>
      <c r="C89" s="3"/>
      <c r="D89" s="3"/>
      <c r="E89" s="3"/>
      <c r="F89" s="3"/>
      <c r="G89" s="3"/>
      <c r="H89" s="3"/>
      <c r="I89" s="3"/>
      <c r="J89" s="3"/>
      <c r="K89" s="3"/>
      <c r="L89" s="3"/>
      <c r="M89" s="3"/>
      <c r="N89" s="3"/>
      <c r="O89" s="3"/>
      <c r="P89" s="3"/>
      <c r="Q89" s="3"/>
      <c r="R89" s="3"/>
      <c r="S89" s="3"/>
      <c r="T89" s="3"/>
      <c r="U89" s="3"/>
      <c r="V89" s="3"/>
      <c r="W89" s="3"/>
      <c r="X89" s="3"/>
      <c r="Y89" s="3"/>
    </row>
    <row r="90" spans="1:25" ht="13">
      <c r="A90" s="3"/>
      <c r="B90" s="3"/>
      <c r="C90" s="3"/>
      <c r="D90" s="3"/>
      <c r="E90" s="3"/>
      <c r="F90" s="3"/>
      <c r="G90" s="3"/>
      <c r="H90" s="3"/>
      <c r="I90" s="3"/>
      <c r="J90" s="3"/>
      <c r="K90" s="3"/>
      <c r="L90" s="3"/>
      <c r="M90" s="3"/>
      <c r="N90" s="3"/>
      <c r="O90" s="3"/>
      <c r="P90" s="3"/>
      <c r="Q90" s="3"/>
      <c r="R90" s="3"/>
      <c r="S90" s="3"/>
      <c r="T90" s="3"/>
      <c r="U90" s="3"/>
      <c r="V90" s="3"/>
      <c r="W90" s="3"/>
      <c r="X90" s="3"/>
      <c r="Y90" s="3"/>
    </row>
    <row r="91" spans="1:25" ht="13">
      <c r="A91" s="3"/>
      <c r="B91" s="3"/>
      <c r="C91" s="3"/>
      <c r="D91" s="3"/>
      <c r="E91" s="3"/>
      <c r="F91" s="3"/>
      <c r="G91" s="3"/>
      <c r="H91" s="3"/>
      <c r="I91" s="3"/>
      <c r="J91" s="3"/>
      <c r="K91" s="3"/>
      <c r="L91" s="3"/>
      <c r="M91" s="3"/>
      <c r="N91" s="3"/>
      <c r="O91" s="3"/>
      <c r="P91" s="3"/>
      <c r="Q91" s="3"/>
      <c r="R91" s="3"/>
      <c r="S91" s="3"/>
      <c r="T91" s="3"/>
      <c r="U91" s="3"/>
      <c r="V91" s="3"/>
      <c r="W91" s="3"/>
      <c r="X91" s="3"/>
      <c r="Y91" s="3"/>
    </row>
    <row r="92" spans="1:25" ht="13">
      <c r="A92" s="3"/>
      <c r="B92" s="3"/>
      <c r="C92" s="3"/>
      <c r="D92" s="3"/>
      <c r="E92" s="3"/>
      <c r="F92" s="3"/>
      <c r="G92" s="3"/>
      <c r="H92" s="3"/>
      <c r="I92" s="3"/>
      <c r="J92" s="3"/>
      <c r="K92" s="3"/>
      <c r="L92" s="3"/>
      <c r="M92" s="3"/>
      <c r="N92" s="3"/>
      <c r="O92" s="3"/>
      <c r="P92" s="3"/>
      <c r="Q92" s="3"/>
      <c r="R92" s="3"/>
      <c r="S92" s="3"/>
      <c r="T92" s="3"/>
      <c r="U92" s="3"/>
      <c r="V92" s="3"/>
      <c r="W92" s="3"/>
      <c r="X92" s="3"/>
      <c r="Y92" s="3"/>
    </row>
    <row r="93" spans="1:25" ht="13">
      <c r="A93" s="3"/>
      <c r="B93" s="3"/>
      <c r="C93" s="3"/>
      <c r="D93" s="3"/>
      <c r="E93" s="3"/>
      <c r="F93" s="3"/>
      <c r="G93" s="3"/>
      <c r="H93" s="3"/>
      <c r="I93" s="3"/>
      <c r="J93" s="3"/>
      <c r="K93" s="3"/>
      <c r="L93" s="3"/>
      <c r="M93" s="3"/>
      <c r="N93" s="3"/>
      <c r="O93" s="3"/>
      <c r="P93" s="3"/>
      <c r="Q93" s="3"/>
      <c r="R93" s="3"/>
      <c r="S93" s="3"/>
      <c r="T93" s="3"/>
      <c r="U93" s="3"/>
      <c r="V93" s="3"/>
      <c r="W93" s="3"/>
      <c r="X93" s="3"/>
      <c r="Y93" s="3"/>
    </row>
    <row r="94" spans="1:25" ht="13">
      <c r="A94" s="3"/>
      <c r="B94" s="3"/>
      <c r="C94" s="3"/>
      <c r="D94" s="3"/>
      <c r="E94" s="3"/>
      <c r="F94" s="3"/>
      <c r="G94" s="3"/>
      <c r="H94" s="3"/>
      <c r="I94" s="3"/>
      <c r="J94" s="3"/>
      <c r="K94" s="3"/>
      <c r="L94" s="3"/>
      <c r="M94" s="3"/>
      <c r="N94" s="3"/>
      <c r="O94" s="3"/>
      <c r="P94" s="3"/>
      <c r="Q94" s="3"/>
      <c r="R94" s="3"/>
      <c r="S94" s="3"/>
      <c r="T94" s="3"/>
      <c r="U94" s="3"/>
      <c r="V94" s="3"/>
      <c r="W94" s="3"/>
      <c r="X94" s="3"/>
      <c r="Y94" s="3"/>
    </row>
    <row r="95" spans="1:25" ht="13">
      <c r="A95" s="3"/>
      <c r="B95" s="3"/>
      <c r="C95" s="3"/>
      <c r="D95" s="3"/>
      <c r="E95" s="3"/>
      <c r="F95" s="3"/>
      <c r="G95" s="3"/>
      <c r="H95" s="3"/>
      <c r="I95" s="3"/>
      <c r="J95" s="3"/>
      <c r="K95" s="3"/>
      <c r="L95" s="3"/>
      <c r="M95" s="3"/>
      <c r="N95" s="3"/>
      <c r="O95" s="3"/>
      <c r="P95" s="3"/>
      <c r="Q95" s="3"/>
      <c r="R95" s="3"/>
      <c r="S95" s="3"/>
      <c r="T95" s="3"/>
      <c r="U95" s="3"/>
      <c r="V95" s="3"/>
      <c r="W95" s="3"/>
      <c r="X95" s="3"/>
      <c r="Y95" s="3"/>
    </row>
    <row r="96" spans="1:25" ht="13">
      <c r="A96" s="3"/>
      <c r="B96" s="3"/>
      <c r="C96" s="3"/>
      <c r="D96" s="3"/>
      <c r="E96" s="3"/>
      <c r="F96" s="3"/>
      <c r="G96" s="3"/>
      <c r="H96" s="3"/>
      <c r="I96" s="3"/>
      <c r="J96" s="3"/>
      <c r="K96" s="3"/>
      <c r="L96" s="3"/>
      <c r="M96" s="3"/>
      <c r="N96" s="3"/>
      <c r="O96" s="3"/>
      <c r="P96" s="3"/>
      <c r="Q96" s="3"/>
      <c r="R96" s="3"/>
      <c r="S96" s="3"/>
      <c r="T96" s="3"/>
      <c r="U96" s="3"/>
      <c r="V96" s="3"/>
      <c r="W96" s="3"/>
      <c r="X96" s="3"/>
      <c r="Y96" s="3"/>
    </row>
    <row r="97" spans="1:25" ht="13">
      <c r="A97" s="3"/>
      <c r="B97" s="3"/>
      <c r="C97" s="3"/>
      <c r="D97" s="3"/>
      <c r="E97" s="3"/>
      <c r="F97" s="3"/>
      <c r="G97" s="3"/>
      <c r="H97" s="3"/>
      <c r="I97" s="3"/>
      <c r="J97" s="3"/>
      <c r="K97" s="3"/>
      <c r="L97" s="3"/>
      <c r="M97" s="3"/>
      <c r="N97" s="3"/>
      <c r="O97" s="3"/>
      <c r="P97" s="3"/>
      <c r="Q97" s="3"/>
      <c r="R97" s="3"/>
      <c r="S97" s="3"/>
      <c r="T97" s="3"/>
      <c r="U97" s="3"/>
      <c r="V97" s="3"/>
      <c r="W97" s="3"/>
      <c r="X97" s="3"/>
      <c r="Y97" s="3"/>
    </row>
    <row r="98" spans="1:25" ht="13">
      <c r="A98" s="3"/>
      <c r="B98" s="3"/>
      <c r="C98" s="3"/>
      <c r="D98" s="3"/>
      <c r="E98" s="3"/>
      <c r="F98" s="3"/>
      <c r="G98" s="3"/>
      <c r="H98" s="3"/>
      <c r="I98" s="3"/>
      <c r="J98" s="3"/>
      <c r="K98" s="3"/>
      <c r="L98" s="3"/>
      <c r="M98" s="3"/>
      <c r="N98" s="3"/>
      <c r="O98" s="3"/>
      <c r="P98" s="3"/>
      <c r="Q98" s="3"/>
      <c r="R98" s="3"/>
      <c r="S98" s="3"/>
      <c r="T98" s="3"/>
      <c r="U98" s="3"/>
      <c r="V98" s="3"/>
      <c r="W98" s="3"/>
      <c r="X98" s="3"/>
      <c r="Y98" s="3"/>
    </row>
    <row r="99" spans="1:25" ht="13">
      <c r="A99" s="3"/>
      <c r="B99" s="3"/>
      <c r="C99" s="3"/>
      <c r="D99" s="3"/>
      <c r="E99" s="3"/>
      <c r="F99" s="3"/>
      <c r="G99" s="3"/>
      <c r="H99" s="3"/>
      <c r="I99" s="3"/>
      <c r="J99" s="3"/>
      <c r="K99" s="3"/>
      <c r="L99" s="3"/>
      <c r="M99" s="3"/>
      <c r="N99" s="3"/>
      <c r="O99" s="3"/>
      <c r="P99" s="3"/>
      <c r="Q99" s="3"/>
      <c r="R99" s="3"/>
      <c r="S99" s="3"/>
      <c r="T99" s="3"/>
      <c r="U99" s="3"/>
      <c r="V99" s="3"/>
      <c r="W99" s="3"/>
      <c r="X99" s="3"/>
      <c r="Y99" s="3"/>
    </row>
    <row r="100" spans="1:25" ht="13">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3">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3">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3">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3">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3">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3">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3">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3">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3">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3">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3">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3">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3">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3">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3">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3">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3">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3">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3">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3">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3">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3">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3">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3">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3">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3">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3">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3">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3">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3">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3">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3">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3">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3">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3">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3">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3">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3">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3">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3">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3">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3">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3">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3">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3">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3">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3">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3">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3">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3">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3">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3">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3">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3">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3">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3">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3">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3">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3">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3">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3">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3">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3">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3">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3">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3">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3">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3">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3">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3">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3">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3">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3">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3">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3">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3">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3">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3">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3">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3">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3">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3">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3">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3">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3">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3">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3">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3">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3">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3">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3">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3">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3">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3">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3">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3">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3">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3">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3">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3">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3">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3">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3">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3">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3">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3">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3">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3">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3">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3">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3">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3">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3">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3">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3">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3">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3">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3">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3">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3">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3">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3">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3">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3">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3">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3">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3">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3">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3">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3">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3">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3">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3">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3">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3">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3">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3">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3">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3">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3">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3">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3">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3">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3">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3">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3">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3">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3">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3">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3">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3">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3">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3">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3">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3">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3">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3">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3">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3">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3">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3">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3">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3">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3">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3">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3">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3">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3">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3">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3">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3">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3">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3">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3">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3">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3">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3">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3">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3">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3">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3">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3">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3">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3">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3">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3">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3">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3">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3">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3">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3">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3">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3">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3">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3">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3">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3">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3">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3">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3">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3">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3">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3">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3">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3">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3">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3">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3">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3">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3">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3">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3">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3">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3">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3">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3">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3">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3">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3">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3">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3">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3">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3">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3">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3">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3">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3">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3">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3">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3">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3">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3">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3">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3">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3">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3">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3">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3">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3">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3">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3">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3">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3">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3">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3">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3">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3">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3">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3">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3">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3">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3">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3">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3">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3">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3">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3">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3">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3">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3">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3">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3">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3">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3">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3">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3">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3">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3">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3">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3">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3">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3">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3">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3">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3">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3">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3">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3">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3">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3">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3">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3">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3">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3">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3">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3">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3">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3">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3">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3">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3">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3">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3">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3">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3">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3">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3">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3">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3">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3">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3">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3">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3">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3">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3">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3">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3">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3">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3">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3">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3">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3">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3">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3">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3">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3">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3">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3">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3">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3">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3">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3">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3">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3">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3">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3">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3">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3">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3">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3">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3">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3">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3">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3">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3">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3">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3">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3">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3">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3">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3">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3">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3">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3">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3">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3">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3">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3">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3">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3">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3">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3">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3">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3">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3">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3">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3">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3">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3">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3">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3">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3">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3">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3">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3">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3">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3">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3">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3">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3">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3">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3">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3">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3">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3">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3">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3">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3">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3">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3">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3">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3">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3">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3">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3">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3">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3">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3">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3">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3">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3">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3">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3">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3">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3">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3">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3">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3">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3">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3">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3">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3">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3">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3">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3">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3">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3">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3">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3">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3">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3">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3">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3">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3">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3">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3">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3">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3">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3">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3">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3">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3">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3">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3">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3">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3">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3">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3">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3">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3">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3">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3">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3">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3">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3">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3">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3">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3">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3">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3">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3">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3">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3">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3">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3">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3">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3">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3">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3">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3">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3">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3">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3">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3">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3">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3">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3">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3">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3">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3">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3">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3">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3">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3">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3">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3">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3">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3">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3">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3">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3">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3">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3">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3">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3">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3">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3">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3">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3">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3">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3">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3">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3">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3">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3">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3">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3">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3">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3">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3">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3">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3">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3">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3">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3">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3">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3">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3">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3">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3">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3">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3">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3">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3">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3">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3">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3">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3">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3">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3">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3">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3">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3">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3">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3">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3">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3">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3">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3">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3">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3">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3">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3">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3">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3">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3">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3">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3">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3">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3">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3">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3">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3">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3">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3">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3">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3">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3">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3">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3">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3">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3">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3">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3">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3">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3">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3">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3">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3">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3">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3">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3">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3">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3">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3">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3">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3">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3">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spans="1:25" ht="1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spans="1:25" ht="13">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row r="1005" spans="1:25" ht="13">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B1153"/>
  <sheetViews>
    <sheetView workbookViewId="0"/>
  </sheetViews>
  <sheetFormatPr baseColWidth="10" defaultColWidth="14.5" defaultRowHeight="15.75" customHeight="1"/>
  <cols>
    <col min="1" max="1" width="75.5" customWidth="1"/>
    <col min="2" max="2" width="22.1640625" customWidth="1"/>
  </cols>
  <sheetData>
    <row r="1" spans="1:2" ht="15.75" customHeight="1">
      <c r="A1" s="7" t="s">
        <v>96</v>
      </c>
    </row>
    <row r="2" spans="1:2" ht="15.75" customHeight="1">
      <c r="A2" s="7" t="s">
        <v>210</v>
      </c>
    </row>
    <row r="3" spans="1:2" ht="15.75" customHeight="1">
      <c r="A3" s="101" t="str">
        <f ca="1">IFERROR(__xludf.DUMMYFUNCTION("QUERY(Pilot!J:R,""SELECT J, R WHERE (R='индикатор') LABEL J'', R'' "")"),"Построены центры культурного развития в субъектах Российской Федерации в городах с числом жителей до 300 000 человек")</f>
        <v>Построены центры культурного развития в субъектах Российской Федерации в городах с числом жителей до 300 000 человек</v>
      </c>
      <c r="B3" s="101" t="str">
        <f ca="1">IFERROR(__xludf.DUMMYFUNCTION("""COMPUTED_VALUE"""),"индикатор")</f>
        <v>индикатор</v>
      </c>
    </row>
    <row r="4" spans="1:2" ht="15.75" customHeight="1">
      <c r="A4" s="101" t="str">
        <f ca="1">IFERROR(__xludf.DUMMYFUNCTION("""COMPUTED_VALUE"""),"Проведена реновация федеральных учреждений отрасли культуры, направленная на улучшение качества культурной среды")</f>
        <v>Проведена реновация федеральных учреждений отрасли культуры, направленная на улучшение качества культурной среды</v>
      </c>
      <c r="B4" s="101" t="str">
        <f ca="1">IFERROR(__xludf.DUMMYFUNCTION("""COMPUTED_VALUE"""),"индикатор")</f>
        <v>индикатор</v>
      </c>
    </row>
    <row r="5" spans="1:2" ht="15.75" customHeight="1">
      <c r="A5" s="101" t="str">
        <f ca="1">IFERROR(__xludf.DUMMYFUNCTION("""COMPUTED_VALUE"""),"Проведена реновация региональных и (или) муниципальных учреждений отрасли культуры, направленная на улучшение качества культурной среды")</f>
        <v>Проведена реновация региональных и (или) муниципальных учреждений отрасли культуры, направленная на улучшение качества культурной среды</v>
      </c>
      <c r="B5" s="101" t="str">
        <f ca="1">IFERROR(__xludf.DUMMYFUNCTION("""COMPUTED_VALUE"""),"индикатор")</f>
        <v>индикатор</v>
      </c>
    </row>
    <row r="6" spans="1:2" ht="15.75" customHeight="1">
      <c r="A6" s="101" t="str">
        <f ca="1">IFERROR(__xludf.DUMMYFUNCTION("""COMPUTED_VALUE"""),"Оснащены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f>
        <v>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v>
      </c>
      <c r="B6" s="101" t="str">
        <f ca="1">IFERROR(__xludf.DUMMYFUNCTION("""COMPUTED_VALUE"""),"индикатор")</f>
        <v>индикатор</v>
      </c>
    </row>
    <row r="7" spans="1:2" ht="15.75" customHeight="1">
      <c r="A7" s="101" t="str">
        <f ca="1">IFERROR(__xludf.DUMMYFUNCTION("""COMPUTED_VALUE"""),"Оснащены пианино отечественного производства детские школы искусств в рамках совместной программы Минпромторга России и Минкультуры России")</f>
        <v>Оснащены пианино отечественного производства детские школы искусств в рамках совместной программы Минпромторга России и Минкультуры России</v>
      </c>
      <c r="B7" s="101" t="str">
        <f ca="1">IFERROR(__xludf.DUMMYFUNCTION("""COMPUTED_VALUE"""),"индикатор")</f>
        <v>индикатор</v>
      </c>
    </row>
    <row r="8" spans="1:2" ht="15.75" customHeight="1">
      <c r="A8" s="101" t="str">
        <f ca="1">IFERROR(__xludf.DUMMYFUNCTION("""COMPUTED_VALUE"""),"Построены (реконструированы) и (или) капитально отремонтированы культурно-досуговые учреждения в сельской местности")</f>
        <v>Построены (реконструированы) и (или) капитально отремонтированы культурно-досуговые учреждения в сельской местности</v>
      </c>
      <c r="B8" s="101" t="str">
        <f ca="1">IFERROR(__xludf.DUMMYFUNCTION("""COMPUTED_VALUE"""),"индикатор")</f>
        <v>индикатор</v>
      </c>
    </row>
    <row r="9" spans="1:2" ht="15.75" customHeight="1">
      <c r="A9" s="101" t="str">
        <f ca="1">IFERROR(__xludf.DUMMYFUNCTION("""COMPUTED_VALUE"""),"Построены и (или) реконструированы культурно-досуговые учреждения в сельской местности")</f>
        <v>Построены и (или) реконструированы культурно-досуговые учреждения в сельской местности</v>
      </c>
      <c r="B9" s="101" t="str">
        <f ca="1">IFERROR(__xludf.DUMMYFUNCTION("""COMPUTED_VALUE"""),"индикатор")</f>
        <v>индикатор</v>
      </c>
    </row>
    <row r="10" spans="1:2" ht="15.75" customHeight="1">
      <c r="A10" s="101" t="str">
        <f ca="1">IFERROR(__xludf.DUMMYFUNCTION("""COMPUTED_VALUE"""),"Приобретены передвижные многофункциональные культурные центры (автоклубы) для обслуживания сельского населения субъектов Российской Федерации")</f>
        <v>Приобретены передвижные многофункциональные культурные центры (автоклубы) для обслуживания сельского населения субъектов Российской Федерации</v>
      </c>
      <c r="B10" s="101" t="str">
        <f ca="1">IFERROR(__xludf.DUMMYFUNCTION("""COMPUTED_VALUE"""),"индикатор")</f>
        <v>индикатор</v>
      </c>
    </row>
    <row r="11" spans="1:2" ht="15.75" customHeight="1">
      <c r="A11" s="101" t="str">
        <f ca="1">IFERROR(__xludf.DUMMYFUNCTION("""COMPUTED_VALUE"""),"Переоснащены муниципальные библиотеки по модельному стандарту")</f>
        <v>Переоснащены муниципальные библиотеки по модельному стандарту</v>
      </c>
      <c r="B11" s="101" t="str">
        <f ca="1">IFERROR(__xludf.DUMMYFUNCTION("""COMPUTED_VALUE"""),"индикатор")</f>
        <v>индикатор</v>
      </c>
    </row>
    <row r="12" spans="1:2" ht="15.75" customHeight="1">
      <c r="A12" s="101" t="str">
        <f ca="1">IFERROR(__xludf.DUMMYFUNCTION("""COMPUTED_VALUE"""),"Оснащены современным оборудованием кинозалы в населенных пунктах с численностью населения до 500 тыс. человек, в которых обеспечен прокат национальных фильмов")</f>
        <v>Оснащены современным оборудованием кинозалы в населенных пунктах с численностью населения до 500 тыс. человек, в которых обеспечен прокат национальных фильмов</v>
      </c>
      <c r="B12" s="101" t="str">
        <f ca="1">IFERROR(__xludf.DUMMYFUNCTION("""COMPUTED_VALUE"""),"индикатор")</f>
        <v>индикатор</v>
      </c>
    </row>
    <row r="13" spans="1:2" ht="15.75" customHeight="1">
      <c r="A13" s="101" t="str">
        <f ca="1">IFERROR(__xludf.DUMMYFUNCTION("""COMPUTED_VALUE"""),"Оцифрованы фильмовые материалы на цифровых носителях Госфильмофонда России")</f>
        <v>Оцифрованы фильмовые материалы на цифровых носителях Госфильмофонда России</v>
      </c>
      <c r="B13" s="101" t="str">
        <f ca="1">IFERROR(__xludf.DUMMYFUNCTION("""COMPUTED_VALUE"""),"индикатор")</f>
        <v>индикатор</v>
      </c>
    </row>
    <row r="14" spans="1:2" ht="15.75" customHeight="1">
      <c r="A14" s="101" t="str">
        <f ca="1">IFERROR(__xludf.DUMMYFUNCTION("""COMPUTED_VALUE"""),"Реконструированы и (или) капитально отремонтированы региональные и (или) муниципальные театры юного зрителя и театры кукол")</f>
        <v>Реконструированы и (или) капитально отремонтированы региональные и (или) муниципальные театры юного зрителя и театры кукол</v>
      </c>
      <c r="B14" s="101" t="str">
        <f ca="1">IFERROR(__xludf.DUMMYFUNCTION("""COMPUTED_VALUE"""),"индикатор")</f>
        <v>индикатор</v>
      </c>
    </row>
    <row r="15" spans="1:2" ht="15.75" customHeight="1">
      <c r="A15" s="101" t="str">
        <f ca="1">IFERROR(__xludf.DUMMYFUNCTION("""COMPUTED_VALUE"""),"Утверждены инвестиционные паспорта усадеб, включающие в себя исторические исследования, научно изыскательную и техническую документацию, инженерное обследование, расчет инвестиций")</f>
        <v>Утверждены инвестиционные паспорта усадеб, включающие в себя исторические исследования, научно изыскательную и техническую документацию, инженерное обследование, расчет инвестиций</v>
      </c>
      <c r="B15" s="101" t="str">
        <f ca="1">IFERROR(__xludf.DUMMYFUNCTION("""COMPUTED_VALUE"""),"индикатор")</f>
        <v>индикатор</v>
      </c>
    </row>
    <row r="16" spans="1:2" ht="15.75" customHeight="1">
      <c r="A16" s="101" t="str">
        <f ca="1">IFERROR(__xludf.DUMMYFUNCTION("""COMPUTED_VALUE"""),"Проведены культурно-просветительские программы для школьников")</f>
        <v>Проведены культурно-просветительские программы для школьников</v>
      </c>
      <c r="B16" s="101" t="str">
        <f ca="1">IFERROR(__xludf.DUMMYFUNCTION("""COMPUTED_VALUE"""),"индикатор")</f>
        <v>индикатор</v>
      </c>
    </row>
    <row r="17" spans="1:2" ht="15.75" customHeight="1">
      <c r="A17" s="101" t="str">
        <f ca="1">IFERROR(__xludf.DUMMYFUNCTION("""COMPUTED_VALUE"""),"Созданы памятные места, связанные с военной историей России")</f>
        <v>Созданы памятные места, связанные с военной историей России</v>
      </c>
      <c r="B17" s="101" t="str">
        <f ca="1">IFERROR(__xludf.DUMMYFUNCTION("""COMPUTED_VALUE"""),"индикатор")</f>
        <v>индикатор</v>
      </c>
    </row>
    <row r="18" spans="1:2" ht="15.75" customHeight="1">
      <c r="A18" s="101" t="str">
        <f ca="1">IFERROR(__xludf.DUMMYFUNCTION("""COMPUTED_VALUE"""),"Реализованы культурно - просветительские программы для духовно - нравственного развития и патриотического воспитания школьников: школьники, охваченные программами , тыс. человек нарастающим итогом")</f>
        <v>Реализованы культурно - просветительские программы для духовно - нравственного развития и патриотического воспитания школьников: школьники, охваченные программами , тыс. человек нарастающим итогом</v>
      </c>
      <c r="B18" s="101" t="str">
        <f ca="1">IFERROR(__xludf.DUMMYFUNCTION("""COMPUTED_VALUE"""),"индикатор")</f>
        <v>индикатор</v>
      </c>
    </row>
    <row r="19" spans="1:2" ht="15.75" customHeight="1">
      <c r="A19" s="101" t="str">
        <f ca="1">IFERROR(__xludf.DUMMYFUNCTION("""COMPUTED_VALUE"""),"Проведены Фестивали любительских творческих коллективов с вручением грантов лучшим коллективам")</f>
        <v>Проведены Фестивали любительских творческих коллективов с вручением грантов лучшим коллективам</v>
      </c>
      <c r="B19" s="101" t="str">
        <f ca="1">IFERROR(__xludf.DUMMYFUNCTION("""COMPUTED_VALUE"""),"индикатор")</f>
        <v>индикатор</v>
      </c>
    </row>
    <row r="20" spans="1:2" ht="15.75" customHeight="1">
      <c r="A20" s="101" t="str">
        <f ca="1">IFERROR(__xludf.DUMMYFUNCTION("""COMPUTED_VALUE"""),"Проведены фестивали детского творчества всех жанров")</f>
        <v>Проведены фестивали детского творчества всех жанров</v>
      </c>
      <c r="B20" s="101" t="str">
        <f ca="1">IFERROR(__xludf.DUMMYFUNCTION("""COMPUTED_VALUE"""),"индикатор")</f>
        <v>индикатор</v>
      </c>
    </row>
    <row r="21" spans="1:2" ht="15.75" customHeight="1">
      <c r="A21" s="101" t="str">
        <f ca="1">IFERROR(__xludf.DUMMYFUNCTION("""COMPUTED_VALUE"""),"Созданы центры непрерывного образования и повышения квалификации творческих и управленческих кадров в сфере культуры на базе творческих вузов.")</f>
        <v>Созданы центры непрерывного образования и повышения квалификации творческих и управленческих кадров в сфере культуры на базе творческих вузов.</v>
      </c>
      <c r="B21" s="101" t="str">
        <f ca="1">IFERROR(__xludf.DUMMYFUNCTION("""COMPUTED_VALUE"""),"индикатор")</f>
        <v>индикатор</v>
      </c>
    </row>
    <row r="22" spans="1:2" ht="15.75" customHeight="1">
      <c r="A22" s="101" t="str">
        <f ca="1">IFERROR(__xludf.DUMMYFUNCTION("""COMPUTED_VALUE"""),"Повышена квалификация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f>
        <v>Повышена квалификация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v>
      </c>
      <c r="B22" s="101" t="str">
        <f ca="1">IFERROR(__xludf.DUMMYFUNCTION("""COMPUTED_VALUE"""),"индикатор")</f>
        <v>индикатор</v>
      </c>
    </row>
    <row r="23" spans="1:2" ht="13">
      <c r="A23" s="101" t="str">
        <f ca="1">IFERROR(__xludf.DUMMYFUNCTION("""COMPUTED_VALUE"""),"Проведена программа «Волонтеры культуры»")</f>
        <v>Проведена программа «Волонтеры культуры»</v>
      </c>
      <c r="B23" s="101" t="str">
        <f ca="1">IFERROR(__xludf.DUMMYFUNCTION("""COMPUTED_VALUE"""),"индикатор")</f>
        <v>индикатор</v>
      </c>
    </row>
    <row r="24" spans="1:2" ht="13">
      <c r="A24" s="101" t="str">
        <f ca="1">IFERROR(__xludf.DUMMYFUNCTION("""COMPUTED_VALUE"""),"Созданы виртуальные концертные залы на площадках организаций культуры, в том числе в домах культуры, библиотеках, музеях, для трансляции знаковых культурных мероприятий (количество залов нарастающим итогом).")</f>
        <v>Созданы виртуальные концертные залы на площадках организаций культуры, в том числе в домах культуры, библиотеках, музеях, для трансляции знаковых культурных мероприятий (количество залов нарастающим итогом).</v>
      </c>
      <c r="B24" s="101" t="str">
        <f ca="1">IFERROR(__xludf.DUMMYFUNCTION("""COMPUTED_VALUE"""),"индикатор")</f>
        <v>индикатор</v>
      </c>
    </row>
    <row r="25" spans="1:2" ht="13">
      <c r="A25" s="101" t="str">
        <f ca="1">IFERROR(__xludf.DUMMYFUNCTION("""COMPUTED_VALUE"""),"Проведены онлайн-трансляции мероприятий, размещаемых на портале ""Культура.РФ""")</f>
        <v>Проведены онлайн-трансляции мероприятий, размещаемых на портале "Культура.РФ"</v>
      </c>
      <c r="B25" s="101" t="str">
        <f ca="1">IFERROR(__xludf.DUMMYFUNCTION("""COMPUTED_VALUE"""),"индикатор")</f>
        <v>индикатор</v>
      </c>
    </row>
    <row r="26" spans="1:2" ht="13">
      <c r="A26" s="101" t="str">
        <f ca="1">IFERROR(__xludf.DUMMYFUNCTION("""COMPUTED_VALUE"""),"Произведен и размещен в сети «Интернет» контент, направленный на укрепление гражданской идентичности и духовно-нравственных ценностей среди молодежи")</f>
        <v>Произведен и размещен в сети «Интернет» контент, направленный на укрепление гражданской идентичности и духовно-нравственных ценностей среди молодежи</v>
      </c>
      <c r="B26" s="101" t="str">
        <f ca="1">IFERROR(__xludf.DUMMYFUNCTION("""COMPUTED_VALUE"""),"индикатор")</f>
        <v>индикатор</v>
      </c>
    </row>
    <row r="27" spans="1:2" ht="13">
      <c r="A27" s="101" t="str">
        <f ca="1">IFERROR(__xludf.DUMMYFUNCTION("""COMPUTED_VALUE"""),"Созданы мультимедиа-гиды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f>
        <v>Созданы мультимедиа-гиды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v>
      </c>
      <c r="B27" s="101" t="str">
        <f ca="1">IFERROR(__xludf.DUMMYFUNCTION("""COMPUTED_VALUE"""),"индикатор")</f>
        <v>индикатор</v>
      </c>
    </row>
    <row r="28" spans="1:2" ht="13">
      <c r="A28" s="101" t="str">
        <f ca="1">IFERROR(__xludf.DUMMYFUNCTION("""COMPUTED_VALUE"""),"Оцифрованы и включены в Национальную электронную библиотеку книжные памятники")</f>
        <v>Оцифрованы и включены в Национальную электронную библиотеку книжные памятники</v>
      </c>
      <c r="B28" s="101" t="str">
        <f ca="1">IFERROR(__xludf.DUMMYFUNCTION("""COMPUTED_VALUE"""),"индикатор")</f>
        <v>индикатор</v>
      </c>
    </row>
    <row r="29" spans="1:2" ht="13">
      <c r="A29" s="101" t="str">
        <f ca="1">IFERROR(__xludf.DUMMYFUNCTION("""COMPUTED_VALUE"""),"Обеспечено оказание универсальных услуг связи на территории Российской Федерации, в том числе к концу 2021 года обеспечено оказание универсальных услуг по передаче данных и предоставлению доступа к сети «Интернет» с использованием точек доступа в 13958 на"&amp;"селенных пунктах с численностью населения от 250 до 500 человек")</f>
        <v>Обеспечено оказание универсальных услуг связи на территории Российской Федерации, в том числе к концу 2021 года обеспечено оказание универсальных услуг по передаче данных и предоставлению доступа к сети «Интернет» с использованием точек доступа в 13958 населенных пунктах с численностью населения от 250 до 500 человек</v>
      </c>
      <c r="B29" s="101" t="str">
        <f ca="1">IFERROR(__xludf.DUMMYFUNCTION("""COMPUTED_VALUE"""),"индикатор")</f>
        <v>индикатор</v>
      </c>
    </row>
    <row r="30" spans="1:2" ht="13">
      <c r="A30" s="101" t="str">
        <f ca="1">IFERROR(__xludf.DUMMYFUNCTION("""COMPUTED_VALUE"""),"Обеспечено функционирование магистральных каналов связи на территории Чукотского автономного округа в соответствии с показателями, предусмотренными планом-графиком присоединения Чукотского автономного округа к единой сети электросвязи Российской Федерации"&amp;", разработанным Минкомсвязью России")</f>
        <v>Обеспечено функционирование магистральных каналов связи на территории Чукотского автономного округа в соответствии с показателями, предусмотренными планом-графиком присоединения Чукотского автономного округа к единой сети электросвязи Российской Федерации, разработанным Минкомсвязью России</v>
      </c>
      <c r="B30" s="101" t="str">
        <f ca="1">IFERROR(__xludf.DUMMYFUNCTION("""COMPUTED_VALUE"""),"индикатор")</f>
        <v>индикатор</v>
      </c>
    </row>
    <row r="31" spans="1:2" ht="13">
      <c r="A31" s="101" t="str">
        <f ca="1">IFERROR(__xludf.DUMMYFUNCTION("""COMPUTED_VALUE"""),"Создана защищенная цифровая среда аудиовизуального взаимодействия государственных органов, организаций и граждан на федеральном, региональном и муниципальном уровнях")</f>
        <v>Создана защищенная цифровая среда аудиовизуального взаимодействия государственных органов, организаций и граждан на федеральном, региональном и муниципальном уровнях</v>
      </c>
      <c r="B31" s="101" t="str">
        <f ca="1">IFERROR(__xludf.DUMMYFUNCTION("""COMPUTED_VALUE"""),"индикатор")</f>
        <v>индикатор</v>
      </c>
    </row>
    <row r="32" spans="1:2" ht="13">
      <c r="A32" s="101" t="str">
        <f ca="1">IFERROR(__xludf.DUMMYFUNCTION("""COMPUTED_VALUE"""),"Функционирует система распределенных ситуационных центров высших органов государственной власти Российской Федерации, работающих по единому регламенту взаимодействия")</f>
        <v>Функционирует система распределенных ситуационных центров высших органов государственной власти Российской Федерации, работающих по единому регламенту взаимодействия</v>
      </c>
      <c r="B32" s="101" t="str">
        <f ca="1">IFERROR(__xludf.DUMMYFUNCTION("""COMPUTED_VALUE"""),"индикатор")</f>
        <v>индикатор</v>
      </c>
    </row>
    <row r="33" spans="1:2" ht="13">
      <c r="A33" s="101" t="str">
        <f ca="1">IFERROR(__xludf.DUMMYFUNCTION("""COMPUTED_VALUE"""),"Обеспечен широкополосный доступ к сети «Интернет» и услуги по передаче данных при осуществлении доступа к этой сети военных комиссариатов согласно представленному перечню")</f>
        <v>Обеспечен широкополосный доступ к сети «Интернет» и услуги по передаче данных при осуществлении доступа к этой сети военных комиссариатов согласно представленному перечню</v>
      </c>
      <c r="B33" s="101" t="str">
        <f ca="1">IFERROR(__xludf.DUMMYFUNCTION("""COMPUTED_VALUE"""),"индикатор")</f>
        <v>индикатор</v>
      </c>
    </row>
    <row r="34" spans="1:2" ht="13">
      <c r="A34" s="101" t="str">
        <f ca="1">IFERROR(__xludf.DUMMYFUNCTION("""COMPUTED_VALUE"""),"Создана и введена в промышленную эксплуатацию система раннего предупреждения о компьютерных атаках на телекоммуникационную инфраструктуру Российской Федерации")</f>
        <v>Создана и введена в промышленную эксплуатацию система раннего предупреждения о компьютерных атаках на телекоммуникационную инфраструктуру Российской Федерации</v>
      </c>
      <c r="B34" s="101" t="str">
        <f ca="1">IFERROR(__xludf.DUMMYFUNCTION("""COMPUTED_VALUE"""),"индикатор")</f>
        <v>индикатор</v>
      </c>
    </row>
    <row r="35" spans="1:2" ht="13">
      <c r="A35" s="101" t="str">
        <f ca="1">IFERROR(__xludf.DUMMYFUNCTION("""COMPUTED_VALUE"""),"Обеспечение целевой архитектуры центров обработки данных федеральной государственной информационной системы ведения Единого государственного реестра недвижимости")</f>
        <v>Обеспечение целевой архитектуры центров обработки данных федеральной государственной информационной системы ведения Единого государственного реестра недвижимости</v>
      </c>
      <c r="B35" s="101" t="str">
        <f ca="1">IFERROR(__xludf.DUMMYFUNCTION("""COMPUTED_VALUE"""),"индикатор")</f>
        <v>индикатор</v>
      </c>
    </row>
    <row r="36" spans="1:2" ht="13">
      <c r="A36" s="101" t="str">
        <f ca="1">IFERROR(__xludf.DUMMYFUNCTION("""COMPUTED_VALUE"""),"Оказаны услуги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к информационным системам "&amp;"и к сети Интернет,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подключении"&amp;" и предоставлении доступа к указанным системам и сетям")</f>
        <v>Оказаны услуги социально значимым объектам по предоставлению осуществляемого с использованием единой сети передачи данных доступа к информационным системам и к сети Интернет, по передаче и защите данных при осуществлении доступа к информационным системам и к сети Интернет, по обеспечению ограничения доступа к информации, распространение которой в Российской Федерации запрещено, и к информации, наносящий вред здоровью и развитию детей, а также по мониторингу и обеспечению безопасности связи при подключении и предоставлении доступа к указанным системам и сетям</v>
      </c>
      <c r="B36" s="101" t="str">
        <f ca="1">IFERROR(__xludf.DUMMYFUNCTION("""COMPUTED_VALUE"""),"индикатор")</f>
        <v>индикатор</v>
      </c>
    </row>
    <row r="37" spans="1:2" ht="13">
      <c r="A37" s="101" t="str">
        <f ca="1">IFERROR(__xludf.DUMMYFUNCTION("""COMPUTED_VALUE"""),"Обеспечено среднегодовое снижение стоимости тарифа на услугу доступа к информационно-телекоммуникационной сети ""Интернет"", оказываемую операторами связи на территории Чукотского автономного округа, из расчета 1 ГБ трафика - не менее чем на 40%")</f>
        <v>Обеспечено среднегодовое снижение стоимости тарифа на услугу доступа к информационно-телекоммуникационной сети "Интернет", оказываемую операторами связи на территории Чукотского автономного округа, из расчета 1 ГБ трафика - не менее чем на 40%</v>
      </c>
      <c r="B37" s="101" t="str">
        <f ca="1">IFERROR(__xludf.DUMMYFUNCTION("""COMPUTED_VALUE"""),"индикатор")</f>
        <v>индикатор</v>
      </c>
    </row>
    <row r="38" spans="1:2" ht="13">
      <c r="A38" s="101" t="str">
        <f ca="1">IFERROR(__xludf.DUMMYFUNCTION("""COMPUTED_VALUE"""),"Проведены научно-исследовательские работы по технологическому совершенствованию и регуляторным изменениям в сфере электросвязи и почтовой связи, в том числе в области создания, развития и использования сетей связи, спутниковых систем связи, систем телевиз"&amp;"ионного и радиовещания")</f>
        <v>Проведены научно-исследовательские работы по технологическому совершенствованию и регуляторным изменениям в сфере электросвязи и почтовой связи, в том числе в области создания, развития и использования сетей связи, спутниковых систем связи, систем телевизионного и радиовещания</v>
      </c>
      <c r="B38" s="101" t="str">
        <f ca="1">IFERROR(__xludf.DUMMYFUNCTION("""COMPUTED_VALUE"""),"индикатор")</f>
        <v>индикатор</v>
      </c>
    </row>
    <row r="39" spans="1:2" ht="13">
      <c r="A39" s="101" t="str">
        <f ca="1">IFERROR(__xludf.DUMMYFUNCTION("""COMPUTED_VALUE"""),"Обеспечено развитие, поддержание и эксплуатация инфраструктуры российского государственного сегмента сети «Интернет» (сеть RSNet)")</f>
        <v>Обеспечено развитие, поддержание и эксплуатация инфраструктуры российского государственного сегмента сети «Интернет» (сеть RSNet)</v>
      </c>
      <c r="B39" s="101" t="str">
        <f ca="1">IFERROR(__xludf.DUMMYFUNCTION("""COMPUTED_VALUE"""),"индикатор")</f>
        <v>индикатор</v>
      </c>
    </row>
    <row r="40" spans="1:2" ht="13">
      <c r="A40" s="101" t="str">
        <f ca="1">IFERROR(__xludf.DUMMYFUNCTION("""COMPUTED_VALUE"""),"Создана система контроля предоставления услуг связи для социально значимых объектов")</f>
        <v>Создана система контроля предоставления услуг связи для социально значимых объектов</v>
      </c>
      <c r="B40" s="101" t="str">
        <f ca="1">IFERROR(__xludf.DUMMYFUNCTION("""COMPUTED_VALUE"""),"индикатор")</f>
        <v>индикатор</v>
      </c>
    </row>
    <row r="41" spans="1:2" ht="13">
      <c r="A41" s="101" t="str">
        <f ca="1">IFERROR(__xludf.DUMMYFUNCTION("""COMPUTED_VALUE"""),"Медицинские организации государственной и муниципальной систем здравоохранения подключены к сети «Интернет» в рамках заключенных государственных контрактов")</f>
        <v>Медицинские организации государственной и муниципальной систем здравоохранения подключены к сети «Интернет» в рамках заключенных государственных контрактов</v>
      </c>
      <c r="B41" s="101" t="str">
        <f ca="1">IFERROR(__xludf.DUMMYFUNCTION("""COMPUTED_VALUE"""),"индикатор")</f>
        <v>индикатор</v>
      </c>
    </row>
    <row r="42" spans="1:2" ht="13">
      <c r="A42" s="101" t="str">
        <f ca="1">IFERROR(__xludf.DUMMYFUNCTION("""COMPUTED_VALUE"""),"Оказаны услуги по подключению к сети передачи данных, обеспечивающей доступ к единой сети передачи данных и (или) к сети «Интернет», и по передаче данных при осуществлении доступа к этой сети фельдшерским и фельдшерско-акушерским пунктам, государственным "&amp;"(муниципальным) образовательным организациям, реализующим программы общего образования и (или) среднего профессионального образования, органам государственной власти, органам местного самоуправления, территориальным избирательным комиссиям и избирательным"&amp;" комиссиям субъектов Российской Федерации, пожарным частям и пожарным постам, участковым пунктам полиции, территориальным органам Росгвардии и подразделениям (органам) войск национальной гвардии, в том числе в которых проходят службу лица, имеющие специал"&amp;"ьные звания полиции")</f>
        <v>Оказаны услуги по подключению к сети передачи данных, обеспечивающей доступ к единой сети передачи данных и (или) к сети «Интернет», и по передаче данных при осуществлении доступа к этой сети фельдшерским и фельдшерско-акушерским пунктам, государственным (муниципальным) образовательным организациям, реализующим программы общего образования и (или) среднего профессионального образования, органам государственной власти, органам местного самоуправления, территориальным избирательным комиссиям и избирательным комиссиям субъектов Российской Федерации, пожарным частям и пожарным постам, участковым пунктам полиции, территориальным органам Росгвардии и подразделениям (органам) войск национальной гвардии, в том числе в которых проходят службу лица, имеющие специальные звания полиции</v>
      </c>
      <c r="B42" s="101" t="str">
        <f ca="1">IFERROR(__xludf.DUMMYFUNCTION("""COMPUTED_VALUE"""),"индикатор")</f>
        <v>индикатор</v>
      </c>
    </row>
    <row r="43" spans="1:2" ht="13">
      <c r="A43" s="101" t="str">
        <f ca="1">IFERROR(__xludf.DUMMYFUNCTION("""COMPUTED_VALUE"""),"Разработан и утвержден план по высвобождению радиочастотного спектра, определению источников финансирования мероприятий по проведению конверсии, снятию ограничений на использование радиочастотного спектра в целях развертывания сетей связи 5G/IMT-2020 и ег"&amp;"о поэтапная реализация с целью внедрения сетей 5G на территории городов Российской Федерации с численностью населения более 1 млн человек")</f>
        <v>Разработан и утвержден план по высвобождению радиочастотного спектра, определению источников финансирования мероприятий по проведению конверсии, снятию ограничений на использование радиочастотного спектра в целях развертывания сетей связи 5G/IMT-2020 и его поэтапная реализация с целью внедрения сетей 5G на территории городов Российской Федерации с численностью населения более 1 млн человек</v>
      </c>
      <c r="B43" s="101" t="str">
        <f ca="1">IFERROR(__xludf.DUMMYFUNCTION("""COMPUTED_VALUE"""),"индикатор")</f>
        <v>индикатор</v>
      </c>
    </row>
    <row r="44" spans="1:2" ht="13">
      <c r="A44" s="101" t="str">
        <f ca="1">IFERROR(__xludf.DUMMYFUNCTION("""COMPUTED_VALUE"""),"Разработан и реализован комплекс мер по совершенствованию регулирования узкополосных беспроводных сетей связи «Интернета вещей» на территории Российской Федерации")</f>
        <v>Разработан и реализован комплекс мер по совершенствованию регулирования узкополосных беспроводных сетей связи «Интернета вещей» на территории Российской Федерации</v>
      </c>
      <c r="B44" s="101" t="str">
        <f ca="1">IFERROR(__xludf.DUMMYFUNCTION("""COMPUTED_VALUE"""),"индикатор")</f>
        <v>индикатор</v>
      </c>
    </row>
    <row r="45" spans="1:2" ht="13">
      <c r="A45" s="101" t="str">
        <f ca="1">IFERROR(__xludf.DUMMYFUNCTION("""COMPUTED_VALUE"""),"Выполнены условия для создания сетей связи 5G в Российской Федерации на территории не менее 10 городов с населением более 1 млн. человек")</f>
        <v>Выполнены условия для создания сетей связи 5G в Российской Федерации на территории не менее 10 городов с населением более 1 млн. человек</v>
      </c>
      <c r="B45" s="101" t="str">
        <f ca="1">IFERROR(__xludf.DUMMYFUNCTION("""COMPUTED_VALUE"""),"индикатор")</f>
        <v>индикатор</v>
      </c>
    </row>
    <row r="46" spans="1:2" ht="13">
      <c r="A46" s="101" t="str">
        <f ca="1">IFERROR(__xludf.DUMMYFUNCTION("""COMPUTED_VALUE"""),"Приоритетные объекты транспортной инфраструктуры (включая железнодорожную и автодорожную инфраструктуру) покрыты сетями связи с широкополосной беспроводной возможностью передачи данных и голоса, необходимой для развития современных интеллектуальных логист"&amp;"ических, транспортных технологий и сетями узкополосной связи сбора телеметрической информации, построенной по технологии LPWAN")</f>
        <v>Приоритетные объекты транспортной инфраструктуры (включая железнодорожную и автодорожную инфраструктуру) покрыты сетями связи с широкополосной беспроводной возможностью передачи данных и голоса, необходимой для развития современных интеллектуальных логистических, транспортных технологий и сетями узкополосной связи сбора телеметрической информации, построенной по технологии LPWAN</v>
      </c>
      <c r="B46" s="101" t="str">
        <f ca="1">IFERROR(__xludf.DUMMYFUNCTION("""COMPUTED_VALUE"""),"индикатор")</f>
        <v>индикатор</v>
      </c>
    </row>
    <row r="47" spans="1:2" ht="13">
      <c r="A47" s="101" t="str">
        <f ca="1">IFERROR(__xludf.DUMMYFUNCTION("""COMPUTED_VALUE"""),"Обеспечение покрытия радиотелефонной связью автомобильных дорог федерального значения (с обеспечением вызова экстренных служб) в соответствии с планом-графиком")</f>
        <v>Обеспечение покрытия радиотелефонной связью автомобильных дорог федерального значения (с обеспечением вызова экстренных служб) в соответствии с планом-графиком</v>
      </c>
      <c r="B47" s="101" t="str">
        <f ca="1">IFERROR(__xludf.DUMMYFUNCTION("""COMPUTED_VALUE"""),"индикатор")</f>
        <v>индикатор</v>
      </c>
    </row>
    <row r="48" spans="1:2" ht="13">
      <c r="A48" s="101" t="str">
        <f ca="1">IFERROR(__xludf.DUMMYFUNCTION("""COMPUTED_VALUE"""),"Введена в промышленную эксплуатацию государственная единая облачная платформа")</f>
        <v>Введена в промышленную эксплуатацию государственная единая облачная платформа</v>
      </c>
      <c r="B48" s="101" t="str">
        <f ca="1">IFERROR(__xludf.DUMMYFUNCTION("""COMPUTED_VALUE"""),"индикатор")</f>
        <v>индикатор</v>
      </c>
    </row>
    <row r="49" spans="1:2" ht="13">
      <c r="A49" s="101" t="str">
        <f ca="1">IFERROR(__xludf.DUMMYFUNCTION("""COMPUTED_VALUE"""),"Создана геораспределенная катастрофоустойчивая система центров обработки данных (в том числе с использованием отечественного оборудования), обеспечивающая обработку данных, формируемых российскими гражданами и организациями на территории Российской Федера"&amp;"ции")</f>
        <v>Создана геораспределенная катастрофоустойчивая система центров обработки данных (в том числе с использованием отечественного оборудования), обеспечивающая обработку данных, формируемых российскими гражданами и организациями на территории Российской Федерации</v>
      </c>
      <c r="B49" s="101" t="str">
        <f ca="1">IFERROR(__xludf.DUMMYFUNCTION("""COMPUTED_VALUE"""),"индикатор")</f>
        <v>индикатор</v>
      </c>
    </row>
    <row r="50" spans="1:2" ht="13">
      <c r="A50" s="101" t="str">
        <f ca="1">IFERROR(__xludf.DUMMYFUNCTION("""COMPUTED_VALUE"""),"Переведены в государственную единую облачную платформу информационные системы и информационные ресурсы федеральных органов исполнительной власти и государственных внебюджетных фондов")</f>
        <v>Переведены в государственную единую облачную платформу информационные системы и информационные ресурсы федеральных органов исполнительной власти и государственных внебюджетных фондов</v>
      </c>
      <c r="B50" s="101" t="str">
        <f ca="1">IFERROR(__xludf.DUMMYFUNCTION("""COMPUTED_VALUE"""),"индикатор")</f>
        <v>индикатор</v>
      </c>
    </row>
    <row r="51" spans="1:2" ht="13">
      <c r="A51" s="101" t="str">
        <f ca="1">IFERROR(__xludf.DUMMYFUNCTION("""COMPUTED_VALUE"""),"Информационные системы Росреестра защищены от внутренних и внешних угроз безопасности информации средствами криптографической защиты и ведомственным центром")</f>
        <v>Информационные системы Росреестра защищены от внутренних и внешних угроз безопасности информации средствами криптографической защиты и ведомственным центром</v>
      </c>
      <c r="B51" s="101" t="str">
        <f ca="1">IFERROR(__xludf.DUMMYFUNCTION("""COMPUTED_VALUE"""),"индикатор")</f>
        <v>индикатор</v>
      </c>
    </row>
    <row r="52" spans="1:2" ht="13">
      <c r="A52" s="101" t="str">
        <f ca="1">IFERROR(__xludf.DUMMYFUNCTION("""COMPUTED_VALUE"""),"Поддержаны проекты малых предприятий по разработке и внедрению цифровых платформ и технологий для них, направленных на развитие информационной инфраструктуры")</f>
        <v>Поддержаны проекты малых предприятий по разработке и внедрению цифровых платформ и технологий для них, направленных на развитие информационной инфраструктуры</v>
      </c>
      <c r="B52" s="101" t="str">
        <f ca="1">IFERROR(__xludf.DUMMYFUNCTION("""COMPUTED_VALUE"""),"индикатор")</f>
        <v>индикатор</v>
      </c>
    </row>
    <row r="53" spans="1:2" ht="13">
      <c r="A53" s="101" t="str">
        <f ca="1">IFERROR(__xludf.DUMMYFUNCTION("""COMPUTED_VALUE"""),"Разработаны, введены в эксплуатацию и функционирует государственная информационная система Федеральный портал пространственных данных, обеспечивающая доступ к сведениям, содержащимся в федеральном фонде пространственных данных, и государственная информаци"&amp;"онная система ведения Единой электронной картографической основы")</f>
        <v>Разработаны, введены в эксплуатацию и функционирует государственная информационная система Федеральный портал пространственных данных, обеспечивающая доступ к сведениям, содержащимся в федеральном фонде пространственных данных, и государственная информационная система ведения Единой электронной картографической основы</v>
      </c>
      <c r="B53" s="101" t="str">
        <f ca="1">IFERROR(__xludf.DUMMYFUNCTION("""COMPUTED_VALUE"""),"индикатор")</f>
        <v>индикатор</v>
      </c>
    </row>
    <row r="54" spans="1:2" ht="13">
      <c r="A54" s="101" t="str">
        <f ca="1">IFERROR(__xludf.DUMMYFUNCTION("""COMPUTED_VALUE"""),"Создана единая электронная картографическая основа, обеспечено ее использование в деятельности не менее 5 заинтересованных федеральных органов исполнительной власти")</f>
        <v>Создана единая электронная картографическая основа, обеспечено ее использование в деятельности не менее 5 заинтересованных федеральных органов исполнительной власти</v>
      </c>
      <c r="B54" s="101" t="str">
        <f ca="1">IFERROR(__xludf.DUMMYFUNCTION("""COMPUTED_VALUE"""),"индикатор")</f>
        <v>индикатор</v>
      </c>
    </row>
    <row r="55" spans="1:2" ht="13">
      <c r="A55" s="101" t="str">
        <f ca="1">IFERROR(__xludf.DUMMYFUNCTION("""COMPUTED_VALUE"""),"Созданы 4 космических аппарата «Экспресс-РВ1/РВ2/РВ3/РВ4» на высокоэллиптических орбитах и 1 космический аппарат «Экспресс-РВ5» в резерве")</f>
        <v>Созданы 4 космических аппарата «Экспресс-РВ1/РВ2/РВ3/РВ4» на высокоэллиптических орбитах и 1 космический аппарат «Экспресс-РВ5» в резерве</v>
      </c>
      <c r="B55" s="101" t="str">
        <f ca="1">IFERROR(__xludf.DUMMYFUNCTION("""COMPUTED_VALUE"""),"индикатор")</f>
        <v>индикатор</v>
      </c>
    </row>
    <row r="56" spans="1:2" ht="13">
      <c r="A56" s="101" t="str">
        <f ca="1">IFERROR(__xludf.DUMMYFUNCTION("""COMPUTED_VALUE"""),"Обеспечено развитие информационно-телекоммуникационной инфраструктуры объектов общеобразовательных организаций")</f>
        <v>Обеспечено развитие информационно-телекоммуникационной инфраструктуры объектов общеобразовательных организаций</v>
      </c>
      <c r="B56" s="101" t="str">
        <f ca="1">IFERROR(__xludf.DUMMYFUNCTION("""COMPUTED_VALUE"""),"индикатор")</f>
        <v>индикатор</v>
      </c>
    </row>
    <row r="57" spans="1:2" ht="13">
      <c r="A57" s="101" t="str">
        <f ca="1">IFERROR(__xludf.DUMMYFUNCTION("""COMPUTED_VALUE"""),"Реализованы пилотные проекты по созданию сетей связи 5G в Российской Федерации в 5 отраслях экономки, в том числе на территории не менее 1 города с населением более 1 млн. человек")</f>
        <v>Реализованы пилотные проекты по созданию сетей связи 5G в Российской Федерации в 5 отраслях экономки, в том числе на территории не менее 1 города с населением более 1 млн. человек</v>
      </c>
      <c r="B57" s="101" t="str">
        <f ca="1">IFERROR(__xludf.DUMMYFUNCTION("""COMPUTED_VALUE"""),"индикатор")</f>
        <v>индикатор</v>
      </c>
    </row>
    <row r="58" spans="1:2" ht="13">
      <c r="A58" s="101" t="str">
        <f ca="1">IFERROR(__xludf.DUMMYFUNCTION("""COMPUTED_VALUE"""),"Реализованы пилотные проекты по построению узкополосных беспроводных сетей связи «Интернета вещей» в 5 отраслях экономики на территории Российской Федерации в соответствии с утвержденной Концепцией построения и развития узкополосных беспроводных сетей свя"&amp;"зи «Интернета вещей» на территории Россий Федерации")</f>
        <v>Реализованы пилотные проекты по построению узкополосных беспроводных сетей связи «Интернета вещей» в 5 отраслях экономики на территории Российской Федерации в соответствии с утвержденной Концепцией построения и развития узкополосных беспроводных сетей связи «Интернета вещей» на территории Россий Федерации</v>
      </c>
      <c r="B58" s="101" t="str">
        <f ca="1">IFERROR(__xludf.DUMMYFUNCTION("""COMPUTED_VALUE"""),"индикатор")</f>
        <v>индикатор</v>
      </c>
    </row>
    <row r="59" spans="1:2" ht="13">
      <c r="A59" s="101" t="str">
        <f ca="1">IFERROR(__xludf.DUMMYFUNCTION("""COMPUTED_VALUE"""),"Созданы и функционируют информационные системы информатизации деятельности по регистрации и охране прав на объекты интеллектуальной собственности")</f>
        <v>Созданы и функционируют информационные системы информатизации деятельности по регистрации и охране прав на объекты интеллектуальной собственности</v>
      </c>
      <c r="B59" s="101" t="str">
        <f ca="1">IFERROR(__xludf.DUMMYFUNCTION("""COMPUTED_VALUE"""),"индикатор")</f>
        <v>индикатор</v>
      </c>
    </row>
    <row r="60" spans="1:2" ht="13">
      <c r="A60" s="101" t="str">
        <f ca="1">IFERROR(__xludf.DUMMYFUNCTION("""COMPUTED_VALUE"""),"Создана цифровая унифицированная платформа жилищно-коммунального комплекса для инвентаризации, учёта и контроля оказания коммунальных услуг, состояния всех видов энергоресурсов, включая технологии сбора данных посредством Интернета вещей, состояния имущес"&amp;"твенных комплексов для целей повышения качества и расширения спектра оказываемых дополнительных услуг жильцам многоквартирных жилых домов")</f>
        <v>Создана цифровая унифицированная платформа жилищно-коммунального комплекса для инвентаризации, учёта и контроля оказания коммунальных услуг, состояния всех видов энергоресурсов, включая технологии сбора данных посредством Интернета вещей, состояния имущественных комплексов для целей повышения качества и расширения спектра оказываемых дополнительных услуг жильцам многоквартирных жилых домов</v>
      </c>
      <c r="B60" s="101" t="str">
        <f ca="1">IFERROR(__xludf.DUMMYFUNCTION("""COMPUTED_VALUE"""),"индикатор")</f>
        <v>индикатор</v>
      </c>
    </row>
    <row r="61" spans="1:2" ht="13">
      <c r="A61" s="101" t="str">
        <f ca="1">IFERROR(__xludf.DUMMYFUNCTION("""COMPUTED_VALUE"""),"Разработаны и функционируют новые сервисы ФГИС ЕГРН в части технологий «искусственный интеллект», «большие данные» и «роботизация»")</f>
        <v>Разработаны и функционируют новые сервисы ФГИС ЕГРН в части технологий «искусственный интеллект», «большие данные» и «роботизация»</v>
      </c>
      <c r="B61" s="101" t="str">
        <f ca="1">IFERROR(__xludf.DUMMYFUNCTION("""COMPUTED_VALUE"""),"индикатор")</f>
        <v>индикатор</v>
      </c>
    </row>
    <row r="62" spans="1:2" ht="13">
      <c r="A62" s="101" t="str">
        <f ca="1">IFERROR(__xludf.DUMMYFUNCTION("""COMPUTED_VALUE"""),"Разработаны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обла"&amp;"стям «Математика», «Информатика» и «Технология»")</f>
        <v>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v>
      </c>
      <c r="B62" s="101" t="str">
        <f ca="1">IFERROR(__xludf.DUMMYFUNCTION("""COMPUTED_VALUE"""),"индикатор")</f>
        <v>индикатор</v>
      </c>
    </row>
    <row r="63" spans="1:2" ht="13">
      <c r="A63" s="101" t="str">
        <f ca="1">IFERROR(__xludf.DUMMYFUNCTION("""COMPUTED_VALUE"""),"Поддержаны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цифрово"&amp;"й экономики, создаваемого в форме инвестиционного товарищества.")</f>
        <v>Поддержаны компании, реализующие проекты в области перспективных образовательных технологий цифровой экономики, посредством создания, организации деятельности и финансирования венчурного фонда для поддержки перспективных образовательных технологий цифровой экономики, создаваемого в форме инвестиционного товарищества.</v>
      </c>
      <c r="B63" s="101" t="str">
        <f ca="1">IFERROR(__xludf.DUMMYFUNCTION("""COMPUTED_VALUE"""),"индикатор")</f>
        <v>индикатор</v>
      </c>
    </row>
    <row r="64" spans="1:2" ht="13">
      <c r="A64" s="101" t="str">
        <f ca="1">IFERROR(__xludf.DUMMYFUNCTION("""COMPUTED_VALUE"""),"Развитие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«Матема"&amp;"тика», «Информатика» и «Технология», созданы 15 экспериментальных площадок (накопительным итогом)")</f>
        <v>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созданы 15 экспериментальных площадок (накопительным итогом)</v>
      </c>
      <c r="B64" s="101" t="str">
        <f ca="1">IFERROR(__xludf.DUMMYFUNCTION("""COMPUTED_VALUE"""),"индикатор")</f>
        <v>индикатор</v>
      </c>
    </row>
    <row r="65" spans="1:2" ht="13">
      <c r="A65" s="101" t="str">
        <f ca="1">IFERROR(__xludf.DUMMYFUNCTION("""COMPUTED_VALUE"""),"Предоставлены гранты в форме субсидий на создание и поддержку функционирования организаций дополнительного образования детей и (или) детских объединений на базе школ для углубленного изучения математики и информатики (накопительным итогом)")</f>
        <v>Предоставлены гранты в форме субсидий на создание и поддержку функционирования организаций дополнительного образования детей и (или) детских объединений на базе школ для углубленного изучения математики и информатики (накопительным итогом)</v>
      </c>
      <c r="B65" s="101" t="str">
        <f ca="1">IFERROR(__xludf.DUMMYFUNCTION("""COMPUTED_VALUE"""),"индикатор")</f>
        <v>индикатор</v>
      </c>
    </row>
    <row r="66" spans="1:2" ht="13">
      <c r="A66" s="101" t="str">
        <f ca="1">IFERROR(__xludf.DUMMYFUNCTION("""COMPUTED_VALUE"""),"Предоставлены гранты в форме субсидии на проведение тематических смен в сезонных лагерях для школьников по передовым направлениям дискретной математики, информатики, цифровых технологий (накопительным итогом)")</f>
        <v>Предоставлены гранты в форме субсидии на проведение тематических смен в сезонных лагерях для школьников по передовым направлениям дискретной математики, информатики, цифровых технологий (накопительным итогом)</v>
      </c>
      <c r="B66" s="101" t="str">
        <f ca="1">IFERROR(__xludf.DUMMYFUNCTION("""COMPUTED_VALUE"""),"индикатор")</f>
        <v>индикатор</v>
      </c>
    </row>
    <row r="67" spans="1:2" ht="13">
      <c r="A67" s="101" t="str">
        <f ca="1">IFERROR(__xludf.DUMMYFUNCTION("""COMPUTED_VALUE"""),"Разработаны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обла"&amp;"стям «Математика», «Информатика» и «Технология» (накопительным итогом)")</f>
        <v>Разработаны цифровые учебно-методические комплексы, учебные симуляторы, тренажеры, виртуальные лаборатории для реализации общеобразовательных и дополнительных общеобразовательных программ, программ среднего профессионального образования по предметным областям «Математика», «Информатика» и «Технология» (накопительным итогом)</v>
      </c>
      <c r="B67" s="101" t="str">
        <f ca="1">IFERROR(__xludf.DUMMYFUNCTION("""COMPUTED_VALUE"""),"индикатор")</f>
        <v>индикатор</v>
      </c>
    </row>
    <row r="68" spans="1:2" ht="13">
      <c r="A68" s="101" t="str">
        <f ca="1">IFERROR(__xludf.DUMMYFUNCTION("""COMPUTED_VALUE"""),"Предоставлены гранты обучающимся общеобразовательных организаций, проявивших особые способности и высокие достижения в области математики, информатики и цифровых технологий (накопительным итогом)")</f>
        <v>Предоставлены гранты обучающимся общеобразовательных организаций, проявивших особые способности и высокие достижения в области математики, информатики и цифровых технологий (накопительным итогом)</v>
      </c>
      <c r="B68" s="101" t="str">
        <f ca="1">IFERROR(__xludf.DUMMYFUNCTION("""COMPUTED_VALUE"""),"индикатор")</f>
        <v>индикатор</v>
      </c>
    </row>
    <row r="69" spans="1:2" ht="13">
      <c r="A69" s="101" t="str">
        <f ca="1">IFERROR(__xludf.DUMMYFUNCTION("""COMPUTED_VALUE"""),"На базе образовательных организаций высшего образования сформирована сеть из центров цифровой трансформации университетов - «Цифровой университет» и спутников таких центров; из международных научно-методических центров в области информатики, математики и "&amp;"технологий и спутников таких центров; из центров ускоренной подготовки специалистов в области информационных технологий, а также обеспечена реализация в системе высшего образования персональных траекторий развития обучающихся (накопительным итогом)")</f>
        <v>На базе образовательных организаций высшего образования сформирована сеть из центров цифровой трансформации университетов - «Цифровой университет» и спутников таких центров; из международных научно-методических центров в области информатики, математики и технологий и спутников таких центров; из центров ускоренной подготовки специалистов в области информационных технологий, а также обеспечена реализация в системе высшего образования персональных траекторий развития обучающихся (накопительным итогом)</v>
      </c>
      <c r="B69" s="101" t="str">
        <f ca="1">IFERROR(__xludf.DUMMYFUNCTION("""COMPUTED_VALUE"""),"индикатор")</f>
        <v>индикатор</v>
      </c>
    </row>
    <row r="70" spans="1:2" ht="13">
      <c r="A70" s="101" t="str">
        <f ca="1">IFERROR(__xludf.DUMMYFUNCTION("""COMPUTED_VALUE"""),"Обучены работающие специалисты, включая руководителей организаций и сотрудников органов власти и органов местного самоуправления, компетенциям и технологиям, востребованным в условиях цифровой экономики (накопительным итогом)")</f>
        <v>Обучены работающие специалисты, включая руководителей организаций и сотрудников органов власти и органов местного самоуправления, компетенциям и технологиям, востребованным в условиях цифровой экономики (накопительным итогом)</v>
      </c>
      <c r="B70" s="101" t="str">
        <f ca="1">IFERROR(__xludf.DUMMYFUNCTION("""COMPUTED_VALUE"""),"индикатор")</f>
        <v>индикатор</v>
      </c>
    </row>
    <row r="71" spans="1:2" ht="13">
      <c r="A71" s="101" t="str">
        <f ca="1">IFERROR(__xludf.DUMMYFUNCTION("""COMPUTED_VALUE"""),"Поддержаны компании, реализующие проекты в области образовательных технологий (накопительным итогом)")</f>
        <v>Поддержаны компании, реализующие проекты в области образовательных технологий (накопительным итогом)</v>
      </c>
      <c r="B71" s="101" t="str">
        <f ca="1">IFERROR(__xludf.DUMMYFUNCTION("""COMPUTED_VALUE"""),"индикатор")</f>
        <v>индикатор</v>
      </c>
    </row>
    <row r="72" spans="1:2" ht="13">
      <c r="A72" s="101" t="str">
        <f ca="1">IFERROR(__xludf.DUMMYFUNCTION("""COMPUTED_VALUE"""),"Поддержаны научно-технические проекты физических лиц в области цифровой экономики (накопительным итогом)")</f>
        <v>Поддержаны научно-технические проекты физических лиц в области цифровой экономики (накопительным итогом)</v>
      </c>
      <c r="B72" s="101" t="str">
        <f ca="1">IFERROR(__xludf.DUMMYFUNCTION("""COMPUTED_VALUE"""),"индикатор")</f>
        <v>индикатор</v>
      </c>
    </row>
    <row r="73" spans="1:2" ht="13">
      <c r="A73" s="101" t="str">
        <f ca="1">IFERROR(__xludf.DUMMYFUNCTION("""COMPUTED_VALUE"""),"Организованы и проведены в зарубежных странах мероприятия просветительского и мотивационного характера по привлечению талантливых граждан, проживающих за рубежом, на работу в Российской Федерации (накопительным итогом)")</f>
        <v>Организованы и проведены в зарубежных странах мероприятия просветительского и мотивационного характера по привлечению талантливых граждан, проживающих за рубежом, на работу в Российской Федерации (накопительным итогом)</v>
      </c>
      <c r="B73" s="101" t="str">
        <f ca="1">IFERROR(__xludf.DUMMYFUNCTION("""COMPUTED_VALUE"""),"индикатор")</f>
        <v>индикатор</v>
      </c>
    </row>
    <row r="74" spans="1:2" ht="13">
      <c r="A74" s="101" t="str">
        <f ca="1">IFERROR(__xludf.DUMMYFUNCTION("""COMPUTED_VALUE"""),"Педагоги русских школ за рубежом прошли повышение квалификации в иностранных государствах по приоритетным для цифровой экономики компетенциям (накопительным итогом)")</f>
        <v>Педагоги русских школ за рубежом прошли повышение квалификации в иностранных государствах по приоритетным для цифровой экономики компетенциям (накопительным итогом)</v>
      </c>
      <c r="B74" s="101" t="str">
        <f ca="1">IFERROR(__xludf.DUMMYFUNCTION("""COMPUTED_VALUE"""),"индикатор")</f>
        <v>индикатор</v>
      </c>
    </row>
    <row r="75" spans="1:2" ht="13">
      <c r="A75" s="101" t="str">
        <f ca="1">IFERROR(__xludf.DUMMYFUNCTION("""COMPUTED_VALUE"""),"Ученики и работники русских школ за рубежом прошли обучение по программам тиражирования лучших практик по развитию цифровой грамотности (накопительным итогом)")</f>
        <v>Ученики и работники русских школ за рубежом прошли обучение по программам тиражирования лучших практик по развитию цифровой грамотности (накопительным итогом)</v>
      </c>
      <c r="B75" s="101" t="str">
        <f ca="1">IFERROR(__xludf.DUMMYFUNCTION("""COMPUTED_VALUE"""),"индикатор")</f>
        <v>индикатор</v>
      </c>
    </row>
    <row r="76" spans="1:2" ht="13">
      <c r="A76" s="101" t="str">
        <f ca="1">IFERROR(__xludf.DUMMYFUNCTION("""COMPUTED_VALUE"""),"Разработаны образовательные программы (модули) высшего образования в интересах цифровой экономики (ежегодно)")</f>
        <v>Разработаны образовательные программы (модули) высшего образования в интересах цифровой экономики (ежегодно)</v>
      </c>
      <c r="B76" s="101" t="str">
        <f ca="1">IFERROR(__xludf.DUMMYFUNCTION("""COMPUTED_VALUE"""),"индикатор")</f>
        <v>индикатор</v>
      </c>
    </row>
    <row r="77" spans="1:2" ht="13">
      <c r="A77" s="101" t="str">
        <f ca="1">IFERROR(__xludf.DUMMYFUNCTION("""COMPUTED_VALUE"""),"Актуализированы федеральные государственные образовательные стандарты высшего образования в части требований к формированию компетенций цифровой экономики, и разработаны рекомендации по актуализации примерных основных образовательных программ")</f>
        <v>Актуализированы федеральные государственные образовательные стандарты высшего образования в части требований к формированию компетенций цифровой экономики, и разработаны рекомендации по актуализации примерных основных образовательных программ</v>
      </c>
      <c r="B77" s="101" t="str">
        <f ca="1">IFERROR(__xludf.DUMMYFUNCTION("""COMPUTED_VALUE"""),"индикатор")</f>
        <v>индикатор</v>
      </c>
    </row>
    <row r="78" spans="1:2" ht="13">
      <c r="A78" s="101" t="str">
        <f ca="1">IFERROR(__xludf.DUMMYFUNCTION("""COMPUTED_VALUE"""),"Организованы и проведены в зарубежных странах мероприятия просветительского и мотивационного характера по привлечению перспективных иностранных студентов для обучения в образовательных организациях высшего образования по ИТ-специальностям или специальност"&amp;"ям, востребованным в цифровой экономике (накопительным итогом)")</f>
        <v>Организованы и проведены в зарубежных странах мероприятия просветительского и мотивационного характера по привлечению перспективных иностранных студентов для обучения в образовательных организациях высшего образования по ИТ-специальностям или специальностям, востребованным в цифровой экономике (накопительным итогом)</v>
      </c>
      <c r="B78" s="101" t="str">
        <f ca="1">IFERROR(__xludf.DUMMYFUNCTION("""COMPUTED_VALUE"""),"индикатор")</f>
        <v>индикатор</v>
      </c>
    </row>
    <row r="79" spans="1:2" ht="13">
      <c r="A79" s="101" t="str">
        <f ca="1">IFERROR(__xludf.DUMMYFUNCTION("""COMPUTED_VALUE"""),"Принято на обучение по программам высшего образования в сфере информационных технологий (ежегодно)")</f>
        <v>Принято на обучение по программам высшего образования в сфере информационных технологий (ежегодно)</v>
      </c>
      <c r="B79" s="101" t="str">
        <f ca="1">IFERROR(__xludf.DUMMYFUNCTION("""COMPUTED_VALUE"""),"индикатор")</f>
        <v>индикатор</v>
      </c>
    </row>
    <row r="80" spans="1:2" ht="13">
      <c r="A80" s="101" t="str">
        <f ca="1">IFERROR(__xludf.DUMMYFUNCTION("""COMPUTED_VALUE"""),"Обучены специалисты, руководители и команды по компетенциям цифровой экономики, включая компетенции управления, основанного на данных, и защиты интеллектуальной собственности, с фиксацией цифрового следа на единой платформе (накопительным итогом)")</f>
        <v>Обучены специалисты, руководители и команды по компетенциям цифровой экономики, включая компетенции управления, основанного на данных, и защиты интеллектуальной собственности, с фиксацией цифрового следа на единой платформе (накопительным итогом)</v>
      </c>
      <c r="B80" s="101" t="str">
        <f ca="1">IFERROR(__xludf.DUMMYFUNCTION("""COMPUTED_VALUE"""),"индикатор")</f>
        <v>индикатор</v>
      </c>
    </row>
    <row r="81" spans="1:2" ht="13">
      <c r="A81" s="101" t="str">
        <f ca="1">IFERROR(__xludf.DUMMYFUNCTION("""COMPUTED_VALUE"""),"Прошли обучение по онлайн программам развития цифровой грамотности (накопительным итогом)")</f>
        <v>Прошли обучение по онлайн программам развития цифровой грамотности (накопительным итогом)</v>
      </c>
      <c r="B81" s="101" t="str">
        <f ca="1">IFERROR(__xludf.DUMMYFUNCTION("""COMPUTED_VALUE"""),"индикатор")</f>
        <v>индикатор</v>
      </c>
    </row>
    <row r="82" spans="1:2" ht="13">
      <c r="A82" s="101" t="str">
        <f ca="1">IFERROR(__xludf.DUMMYFUNCTION("""COMPUTED_VALUE"""),"Прошли обучение по развитию компетенций цифровой экономики в рамках системы персональных цифровых сертификатов (накопительным итогом)")</f>
        <v>Прошли обучение по развитию компетенций цифровой экономики в рамках системы персональных цифровых сертификатов (накопительным итогом)</v>
      </c>
      <c r="B82" s="101" t="str">
        <f ca="1">IFERROR(__xludf.DUMMYFUNCTION("""COMPUTED_VALUE"""),"индикатор")</f>
        <v>индикатор</v>
      </c>
    </row>
    <row r="83" spans="1:2" ht="13">
      <c r="A83" s="101" t="str">
        <f ca="1">IFERROR(__xludf.DUMMYFUNCTION("""COMPUTED_VALUE"""),"Созданы испытательные лаборатории (экспертные лаборатории, учебные центры) для обеспечения информационной безопасности национальных сетей связи с использованием квантовых криптографических технологий")</f>
        <v>Созданы испытательные лаборатории (экспертные лаборатории, учебные центры) для обеспечения информационной безопасности национальных сетей связи с использованием квантовых криптографических технологий</v>
      </c>
      <c r="B83" s="101" t="str">
        <f ca="1">IFERROR(__xludf.DUMMYFUNCTION("""COMPUTED_VALUE"""),"индикатор")</f>
        <v>индикатор</v>
      </c>
    </row>
    <row r="84" spans="1:2" ht="13">
      <c r="A84" s="101" t="str">
        <f ca="1">IFERROR(__xludf.DUMMYFUNCTION("""COMPUTED_VALUE"""),"Создан опытный образец первой очереди государственной информационной системы национальной базы знаний индикаторов вредоносной активности")</f>
        <v>Создан опытный образец первой очереди государственной информационной системы национальной базы знаний индикаторов вредоносной активности</v>
      </c>
      <c r="B84" s="101" t="str">
        <f ca="1">IFERROR(__xludf.DUMMYFUNCTION("""COMPUTED_VALUE"""),"индикатор")</f>
        <v>индикатор</v>
      </c>
    </row>
    <row r="85" spans="1:2" ht="13">
      <c r="A85" s="101" t="str">
        <f ca="1">IFERROR(__xludf.DUMMYFUNCTION("""COMPUTED_VALUE"""),"Оказана финансовая поддержка органам государственной власти субъектов Российской Федерации по реализации требований № 187-ФЗ ""О безопасности критической информационной инфраструктуры"" в не менее, чем в одном пилотном субъекте")</f>
        <v>Оказана финансовая поддержка органам государственной власти субъектов Российской Федерации по реализации требований № 187-ФЗ "О безопасности критической информационной инфраструктуры" в не менее, чем в одном пилотном субъекте</v>
      </c>
      <c r="B85" s="101" t="str">
        <f ca="1">IFERROR(__xludf.DUMMYFUNCTION("""COMPUTED_VALUE"""),"индикатор")</f>
        <v>индикатор</v>
      </c>
    </row>
    <row r="86" spans="1:2" ht="13">
      <c r="A86" s="101" t="str">
        <f ca="1">IFERROR(__xludf.DUMMYFUNCTION("""COMPUTED_VALUE"""),"Созданы прототипы не менее 2-х пилотных цифровых платформ для исследований и разработок и использования результатов интеллектуальной деятельности")</f>
        <v>Созданы прототипы не менее 2-х пилотных цифровых платформ для исследований и разработок и использования результатов интеллектуальной деятельности</v>
      </c>
      <c r="B86" s="101" t="str">
        <f ca="1">IFERROR(__xludf.DUMMYFUNCTION("""COMPUTED_VALUE"""),"индикатор")</f>
        <v>индикатор</v>
      </c>
    </row>
    <row r="87" spans="1:2" ht="13">
      <c r="A87" s="101" t="str">
        <f ca="1">IFERROR(__xludf.DUMMYFUNCTION("""COMPUTED_VALUE"""),"Созданы цифровые платформы исследований и разработок, а также использования результатов интеллектуальной деятельности на базе лидирующих исследовательских центров и компаний-лидеров по направлениям СЦТ (не менее 2)")</f>
        <v>Созданы цифровые платформы исследований и разработок, а также использования результатов интеллектуальной деятельности на базе лидирующих исследовательских центров и компаний-лидеров по направлениям СЦТ (не менее 2)</v>
      </c>
      <c r="B87" s="101" t="str">
        <f ca="1">IFERROR(__xludf.DUMMYFUNCTION("""COMPUTED_VALUE"""),"индикатор")</f>
        <v>индикатор</v>
      </c>
    </row>
    <row r="88" spans="1:2" ht="13">
      <c r="A88" s="101" t="str">
        <f ca="1">IFERROR(__xludf.DUMMYFUNCTION("""COMPUTED_VALUE"""),"Сформировано законодательство, обеспечивающее преимущественное использование государственными органами единой инфраструктуры электронного правительства")</f>
        <v>Сформировано законодательство, обеспечивающее преимущественное использование государственными органами единой инфраструктуры электронного правительства</v>
      </c>
      <c r="B88" s="101" t="str">
        <f ca="1">IFERROR(__xludf.DUMMYFUNCTION("""COMPUTED_VALUE"""),"индикатор")</f>
        <v>индикатор</v>
      </c>
    </row>
    <row r="89" spans="1:2" ht="13">
      <c r="A89" s="101" t="str">
        <f ca="1">IFERROR(__xludf.DUMMYFUNCTION("""COMPUTED_VALUE"""),"Разработаны и приняты федеральный закон и иные нормативные правовые акты, закрепляющие целевое состояние предоставления государственных и муниципальных услуг, в том числе: 
 - реестровую модель их предоставления; 
 - проактивность; 
 - экстерриториальност"&amp;"ь; 
 - типизацию и стандартизацию приоритетных региональных и муниципальных услуг; 
 - многоканальность; 
 - машиночитаемое описание процесса оказания услуг; 
 - исключение участия человека в процессе принятия решения при предоставлении приоритетных госуд"&amp;"арственных услуг; 
 - единую систему сбора обратной связи от получателей услуг; 
 - иные направления совершенствования предоставления государственных услуг")</f>
        <v>Разработаны и приняты федеральный закон и иные нормативные правовые акты, закрепляющие целевое состояние предоставления государственных и муниципальных услуг, в том числе: 
 - реестровую модель их предоставления; 
 - проактивность; 
 - экстерриториальность; 
 - типизацию и стандартизацию приоритетных региональных и муниципальных услуг; 
 - многоканальность; 
 - машиночитаемое описание процесса оказания услуг; 
 - исключение участия человека в процессе принятия решения при предоставлении приоритетных государственных услуг; 
 - единую систему сбора обратной связи от получателей услуг; 
 - иные направления совершенствования предоставления государственных услуг</v>
      </c>
      <c r="B89" s="101" t="str">
        <f ca="1">IFERROR(__xludf.DUMMYFUNCTION("""COMPUTED_VALUE"""),"индикатор")</f>
        <v>индикатор</v>
      </c>
    </row>
    <row r="90" spans="1:2" ht="13">
      <c r="A90" s="101" t="str">
        <f ca="1">IFERROR(__xludf.DUMMYFUNCTION("""COMPUTED_VALUE"""),"Усовершенствованы механизмы обработки обращений, мониторинга и анализа результатов рассмотрения обращений. Подключены к инфраструктуре единой системы по работе с обращениями граждан государственные органы, органы местного самоуправления, государственные и"&amp;" муниципальные учреждения, иные организации, осуществляющие публично значимые функции")</f>
        <v>Усовершенствованы механизмы обработки обращений, мониторинга и анализа результатов рассмотрения обращений. Подключены к инфраструктуре единой системы по работе с обращениями граждан государственные органы, органы местного самоуправления, государственные и муниципальные учреждения, иные организации, осуществляющие публично значимые функции</v>
      </c>
      <c r="B90" s="101" t="str">
        <f ca="1">IFERROR(__xludf.DUMMYFUNCTION("""COMPUTED_VALUE"""),"индикатор")</f>
        <v>индикатор</v>
      </c>
    </row>
    <row r="91" spans="1:2" ht="13">
      <c r="A91" s="101" t="str">
        <f ca="1">IFERROR(__xludf.DUMMYFUNCTION("""COMPUTED_VALUE"""),"Создана и функционирует цифровая аналитическая платформа для представления статистических данных")</f>
        <v>Создана и функционирует цифровая аналитическая платформа для представления статистических данных</v>
      </c>
      <c r="B91" s="101" t="str">
        <f ca="1">IFERROR(__xludf.DUMMYFUNCTION("""COMPUTED_VALUE"""),"индикатор")</f>
        <v>индикатор</v>
      </c>
    </row>
    <row r="92" spans="1:2" ht="13">
      <c r="A92" s="101" t="str">
        <f ca="1">IFERROR(__xludf.DUMMYFUNCTION("""COMPUTED_VALUE"""),"Обеспечено создание, развитие и функционирование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 в составе Пла"&amp;"тформы исполнения государственных функций")</f>
        <v>Обеспечено создание, развитие и функционирование Единой государственной платформы сбора данных промышленного интернета вещей и инструментов анализа объективных данных о наблюдаемых объектах на основе утвержденных ведомственных моделей данных в составе Платформы исполнения государственных функций</v>
      </c>
      <c r="B92" s="101" t="str">
        <f ca="1">IFERROR(__xludf.DUMMYFUNCTION("""COMPUTED_VALUE"""),"индикатор")</f>
        <v>индикатор</v>
      </c>
    </row>
    <row r="93" spans="1:2" ht="13">
      <c r="A93" s="101" t="str">
        <f ca="1">IFERROR(__xludf.DUMMYFUNCTION("""COMPUTED_VALUE"""),"Внедрены цифровые технологии в сферах государственного управления и оказания приоритетных массовых социально значимых государственных (муниципальных) услуг")</f>
        <v>Внедрены цифровые технологии в сферах государственного управления и оказания приоритетных массовых социально значимых государственных (муниципальных) услуг</v>
      </c>
      <c r="B93" s="101" t="str">
        <f ca="1">IFERROR(__xludf.DUMMYFUNCTION("""COMPUTED_VALUE"""),"индикатор")</f>
        <v>индикатор</v>
      </c>
    </row>
    <row r="94" spans="1:2" ht="13">
      <c r="A94" s="101" t="str">
        <f ca="1">IFERROR(__xludf.DUMMYFUNCTION("""COMPUTED_VALUE"""),"Усовершенствованы механизмы государственного управления и обеспечено высокое качество предоставления государственных и муниципальных услуг (реализации функций), иных услуг (сервисов) и сведений в электронном виде в сфере пожарной безопасности и безопаснос"&amp;"ти людей на водных объектах")</f>
        <v>Усовершенствованы механизмы государственного управления и обеспечено высокое качество предоставления государственных и муниципальных услуг (реализации функций), иных услуг (сервисов) и сведений в электронном виде в сфере пожарной безопасности и безопасности людей на водных объектах</v>
      </c>
      <c r="B94" s="101" t="str">
        <f ca="1">IFERROR(__xludf.DUMMYFUNCTION("""COMPUTED_VALUE"""),"индикатор")</f>
        <v>индикатор</v>
      </c>
    </row>
    <row r="95" spans="1:2" ht="13">
      <c r="A95" s="101" t="str">
        <f ca="1">IFERROR(__xludf.DUMMYFUNCTION("""COMPUTED_VALUE"""),"Создана и функционирует инфраструктура единой площадки для организации и проведения мероприятий национальной программы ""Цифровая экономика Российской Федерации""")</f>
        <v>Создана и функционирует инфраструктура единой площадки для организации и проведения мероприятий национальной программы "Цифровая экономика Российской Федерации"</v>
      </c>
      <c r="B95" s="101" t="str">
        <f ca="1">IFERROR(__xludf.DUMMYFUNCTION("""COMPUTED_VALUE"""),"индикатор")</f>
        <v>индикатор</v>
      </c>
    </row>
    <row r="96" spans="1:2" ht="13">
      <c r="A96" s="101" t="str">
        <f ca="1">IFERROR(__xludf.DUMMYFUNCTION("""COMPUTED_VALUE"""),"Создана автоматизированная система взаимодействия с гражданами в социальной сфере. Обеспечено функционирование указанной системы.")</f>
        <v>Создана автоматизированная система взаимодействия с гражданами в социальной сфере. Обеспечено функционирование указанной системы.</v>
      </c>
      <c r="B96" s="101" t="str">
        <f ca="1">IFERROR(__xludf.DUMMYFUNCTION("""COMPUTED_VALUE"""),"индикатор")</f>
        <v>индикатор</v>
      </c>
    </row>
    <row r="97" spans="1:2" ht="13">
      <c r="A97" s="101" t="str">
        <f ca="1">IFERROR(__xludf.DUMMYFUNCTION("""COMPUTED_VALUE"""),"Организованы сервисы на цифровой платформе для процесса осуществления внешнего государственного аудита (контроля). Обеспечено их функционирование.")</f>
        <v>Организованы сервисы на цифровой платформе для процесса осуществления внешнего государственного аудита (контроля). Обеспечено их функционирование.</v>
      </c>
      <c r="B97" s="101" t="str">
        <f ca="1">IFERROR(__xludf.DUMMYFUNCTION("""COMPUTED_VALUE"""),"индикатор")</f>
        <v>индикатор</v>
      </c>
    </row>
    <row r="98" spans="1:2" ht="13">
      <c r="A98" s="101" t="str">
        <f ca="1">IFERROR(__xludf.DUMMYFUNCTION("""COMPUTED_VALUE"""),"Разработана информационная система с целью обеспечения возможности получения гражданами и бизнесом комплексных государственных услуг в сфере сельского хозяйства, сгруппированных по основным жизненным ситуациям в сфере господдержки. Обеспечено функциониров"&amp;"ание указанной системы.")</f>
        <v>Разработана информационная система с целью обеспечения возможности получения гражданами и бизнесом комплексных государственных услуг в сфере сельского хозяйства, сгруппированных по основным жизненным ситуациям в сфере господдержки. Обеспечено функционирование указанной системы.</v>
      </c>
      <c r="B98" s="101" t="str">
        <f ca="1">IFERROR(__xludf.DUMMYFUNCTION("""COMPUTED_VALUE"""),"индикатор")</f>
        <v>индикатор</v>
      </c>
    </row>
    <row r="99" spans="1:2" ht="13">
      <c r="A99" s="101" t="str">
        <f ca="1">IFERROR(__xludf.DUMMYFUNCTION("""COMPUTED_VALUE"""),"Создана цифровая платформа «Образование в РФ для иностранцев». Обеспечено функционирование указанной платформы.")</f>
        <v>Создана цифровая платформа «Образование в РФ для иностранцев». Обеспечено функционирование указанной платформы.</v>
      </c>
      <c r="B99" s="101" t="str">
        <f ca="1">IFERROR(__xludf.DUMMYFUNCTION("""COMPUTED_VALUE"""),"индикатор")</f>
        <v>индикатор</v>
      </c>
    </row>
    <row r="100" spans="1:2" ht="13">
      <c r="A100" s="101" t="str">
        <f ca="1">IFERROR(__xludf.DUMMYFUNCTION("""COMPUTED_VALUE"""),"Создание единого информационного ресурса регистрационного и миграционного учета. Обеспечено функционирование ресурса.")</f>
        <v>Создание единого информационного ресурса регистрационного и миграционного учета. Обеспечено функционирование ресурса.</v>
      </c>
      <c r="B100" s="101" t="str">
        <f ca="1">IFERROR(__xludf.DUMMYFUNCTION("""COMPUTED_VALUE"""),"индикатор")</f>
        <v>индикатор</v>
      </c>
    </row>
    <row r="101" spans="1:2" ht="13">
      <c r="A101" s="101" t="str">
        <f ca="1">IFERROR(__xludf.DUMMYFUNCTION("""COMPUTED_VALUE"""),"Создание, внедрение, развитие и эксплуатация цифровой платформы АИС Ростехнадзора")</f>
        <v>Создание, внедрение, развитие и эксплуатация цифровой платформы АИС Ростехнадзора</v>
      </c>
      <c r="B101" s="101" t="str">
        <f ca="1">IFERROR(__xludf.DUMMYFUNCTION("""COMPUTED_VALUE"""),"индикатор")</f>
        <v>индикатор</v>
      </c>
    </row>
    <row r="102" spans="1:2" ht="13">
      <c r="A102" s="101" t="str">
        <f ca="1">IFERROR(__xludf.DUMMYFUNCTION("""COMPUTED_VALUE"""),"Структурные подразделения центрального аппарата Росгвардии, территориальные органы Росгвардии, органы управления (объединения, соединения, воинские части, организации и подразделения) войск национальной гвардии обеспечены отечественным офисным программным"&amp;" обеспечением и программным обеспечением в сфере информационной безопасности и оказывается техническая поддержка в рамках применения поставленных программных продуктов")</f>
        <v>Структурные подразделения центрального аппарата Росгвардии, территориальные органы Росгвардии, органы управления (объединения, соединения, воинские части, организации и подразделения) войск национальной гвардии обеспечены отечественным офисным программным обеспечением и программным обеспечением в сфере информационной безопасности и оказывается техническая поддержка в рамках применения поставленных программных продуктов</v>
      </c>
      <c r="B102" s="101" t="str">
        <f ca="1">IFERROR(__xludf.DUMMYFUNCTION("""COMPUTED_VALUE"""),"индикатор")</f>
        <v>индикатор</v>
      </c>
    </row>
    <row r="103" spans="1:2" ht="13">
      <c r="A103" s="101" t="str">
        <f ca="1">IFERROR(__xludf.DUMMYFUNCTION("""COMPUTED_VALUE"""),"Создана система контроля оборота огнестрельного оружия и управления охранными услугами на базе отечественных технологий для обработки больших массивов данных")</f>
        <v>Создана система контроля оборота огнестрельного оружия и управления охранными услугами на базе отечественных технологий для обработки больших массивов данных</v>
      </c>
      <c r="B103" s="101" t="str">
        <f ca="1">IFERROR(__xludf.DUMMYFUNCTION("""COMPUTED_VALUE"""),"индикатор")</f>
        <v>индикатор</v>
      </c>
    </row>
    <row r="104" spans="1:2" ht="13">
      <c r="A104" s="101" t="str">
        <f ca="1">IFERROR(__xludf.DUMMYFUNCTION("""COMPUTED_VALUE"""),"Доработаны информационные системы Рособрнадзора и их подсистемы в целях достижения целевого состояния Суперсервиса «Поступление в вуз онлайн»")</f>
        <v>Доработаны информационные системы Рособрнадзора и их подсистемы в целях достижения целевого состояния Суперсервиса «Поступление в вуз онлайн»</v>
      </c>
      <c r="B104" s="101" t="str">
        <f ca="1">IFERROR(__xludf.DUMMYFUNCTION("""COMPUTED_VALUE"""),"индикатор")</f>
        <v>индикатор</v>
      </c>
    </row>
    <row r="105" spans="1:2" ht="13">
      <c r="A105" s="101" t="str">
        <f ca="1">IFERROR(__xludf.DUMMYFUNCTION("""COMPUTED_VALUE"""),"Обеспечено развитие системы межведомственного электронного взаимодействия на территориях субъектов Российской Федерации")</f>
        <v>Обеспечено развитие системы межведомственного электронного взаимодействия на территориях субъектов Российской Федерации</v>
      </c>
      <c r="B105" s="101" t="str">
        <f ca="1">IFERROR(__xludf.DUMMYFUNCTION("""COMPUTED_VALUE"""),"индикатор")</f>
        <v>индикатор</v>
      </c>
    </row>
    <row r="106" spans="1:2" ht="13">
      <c r="A106" s="101" t="str">
        <f ca="1">IFERROR(__xludf.DUMMYFUNCTION("""COMPUTED_VALUE"""),"Обеспечена возможность изучать предметную область ""Технология"" и других предметных областей на базе организаций, имеющих высокооснащенные ученико-места , в т.ч. детских технопарков ""Кванториум""")</f>
        <v>Обеспечена возможность изучать предметную область "Технология" и других предметных областей на базе организаций, имеющих высокооснащенные ученико-места , в т.ч. детских технопарков "Кванториум"</v>
      </c>
      <c r="B106" s="101" t="str">
        <f ca="1">IFERROR(__xludf.DUMMYFUNCTION("""COMPUTED_VALUE"""),"индикатор")</f>
        <v>индикатор</v>
      </c>
    </row>
    <row r="107" spans="1:2" ht="13">
      <c r="A107" s="101" t="str">
        <f ca="1">IFERROR(__xludf.DUMMYFUNCTION("""COMPUTED_VALUE"""),"Поддержка образования для детей с ограниченными возможностями здоровья.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f>
        <v>Поддержка образования для детей с ограниченными возможностями здоровья.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v>
      </c>
      <c r="B107" s="101" t="str">
        <f ca="1">IFERROR(__xludf.DUMMYFUNCTION("""COMPUTED_VALUE"""),"индикатор")</f>
        <v>индикатор</v>
      </c>
    </row>
    <row r="108" spans="1:2" ht="13">
      <c r="A108" s="101" t="str">
        <f ca="1">IFERROR(__xludf.DUMMYFUNCTION("""COMPUTED_VALUE"""),"Обновлена материально-техническая база для формирования у обучающихся современных технологических и гуманитарных навыков. Создана материально-технической базы для реализации основных и дополнительных общеобразовательных программ цифрового и гуманитарного "&amp;"профилей в общеобразовательных организациях, расположенных в сельской местности и малых городах")</f>
        <v>Обновлена материально-техническая база для формирования у обучающихся современных технологических и гуманитарных навыков. Создана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v>
      </c>
      <c r="B108" s="101" t="str">
        <f ca="1">IFERROR(__xludf.DUMMYFUNCTION("""COMPUTED_VALUE"""),"индикатор")</f>
        <v>индикатор</v>
      </c>
    </row>
    <row r="109" spans="1:2" ht="13">
      <c r="A109" s="101" t="str">
        <f ca="1">IFERROR(__xludf.DUMMYFUNCTION("""COMPUTED_VALUE"""),"Созданы новые места в общеобразовательных организациях, расположенных в сельской местности и поселках городского типа")</f>
        <v>Созданы новые места в общеобразовательных организациях, расположенных в сельской местности и поселках городского типа</v>
      </c>
      <c r="B109" s="101" t="str">
        <f ca="1">IFERROR(__xludf.DUMMYFUNCTION("""COMPUTED_VALUE"""),"индикатор")</f>
        <v>индикатор</v>
      </c>
    </row>
    <row r="110" spans="1:2" ht="13">
      <c r="A110" s="101" t="str">
        <f ca="1">IFERROR(__xludf.DUMMYFUNCTION("""COMPUTED_VALUE"""),"Реализованы мероприятия по модернизации инфраструктуры общего образования в отдельных субъектах Российской Федерации")</f>
        <v>Реализованы мероприятия по модернизации инфраструктуры общего образования в отдельных субъектах Российской Федерации</v>
      </c>
      <c r="B110" s="101" t="str">
        <f ca="1">IFERROR(__xludf.DUMMYFUNCTION("""COMPUTED_VALUE"""),"индикатор")</f>
        <v>индикатор</v>
      </c>
    </row>
    <row r="111" spans="1:2" ht="13">
      <c r="A111" s="101" t="str">
        <f ca="1">IFERROR(__xludf.DUMMYFUNCTION("""COMPUTED_VALUE"""),"Обеспечение устойчивого развития сельских территорий")</f>
        <v>Обеспечение устойчивого развития сельских территорий</v>
      </c>
      <c r="B111" s="101" t="str">
        <f ca="1">IFERROR(__xludf.DUMMYFUNCTION("""COMPUTED_VALUE"""),"индикатор")</f>
        <v>индикатор</v>
      </c>
    </row>
    <row r="112" spans="1:2" ht="13">
      <c r="A112" s="101" t="str">
        <f ca="1">IFERROR(__xludf.DUMMYFUNCTION("""COMPUTED_VALUE"""),"Реализация мероприятий по социально-экономическому развитию субъектов Российской Федерации, входящих в состав Северо-Кавказского федерального округа")</f>
        <v>Реализация мероприятий по социально-экономическому развитию субъектов Российской Федерации, входящих в состав Северо-Кавказского федерального округа</v>
      </c>
      <c r="B112" s="101" t="str">
        <f ca="1">IFERROR(__xludf.DUMMYFUNCTION("""COMPUTED_VALUE"""),"индикатор")</f>
        <v>индикатор</v>
      </c>
    </row>
    <row r="113" spans="1:2" ht="13">
      <c r="A113" s="101" t="str">
        <f ca="1">IFERROR(__xludf.DUMMYFUNCTION("""COMPUTED_VALUE"""),"Проведена оценка качества общего образования на основе практики международных исследований качества подготовки обучающихся")</f>
        <v>Проведена оценка качества общего образования на основе практики международных исследований качества подготовки обучающихся</v>
      </c>
      <c r="B113" s="101" t="str">
        <f ca="1">IFERROR(__xludf.DUMMYFUNCTION("""COMPUTED_VALUE"""),"индикатор")</f>
        <v>индикатор</v>
      </c>
    </row>
    <row r="114" spans="1:2" ht="13">
      <c r="A114" s="101" t="str">
        <f ca="1">IFERROR(__xludf.DUMMYFUNCTION("""COMPUTED_VALUE"""),"Во всех субъектах Российской Федерации для учителей предметной области ""Технология"" действует система повышения квалификации на базе детских технопарков ""Кванториум"", организаций, осуществляющих образовательную деятельность по образовательным программ"&amp;"ам среднего профессионального и высшего образования, предприятий реального сектора экономики")</f>
        <v>Во всех субъектах Российской Федерации для учителей предметной области "Технология" действует система повышения квалификации на базе детских технопарков "Кванториум", организаций, осуществляющих образовательную деятельность по образовательным программам среднего профессионального и высшего образования, предприятий реального сектора экономики</v>
      </c>
      <c r="B114" s="101" t="str">
        <f ca="1">IFERROR(__xludf.DUMMYFUNCTION("""COMPUTED_VALUE"""),"индикатор")</f>
        <v>индикатор</v>
      </c>
    </row>
    <row r="115" spans="1:2" ht="13">
      <c r="A115" s="101" t="str">
        <f ca="1">IFERROR(__xludf.DUMMYFUNCTION("""COMPUTED_VALUE"""),"В Российской Федерации ликвидировано обучение в 3-ю смену")</f>
        <v>В Российской Федерации ликвидировано обучение в 3-ю смену</v>
      </c>
      <c r="B115" s="101" t="str">
        <f ca="1">IFERROR(__xludf.DUMMYFUNCTION("""COMPUTED_VALUE"""),"индикатор")</f>
        <v>индикатор</v>
      </c>
    </row>
    <row r="116" spans="1:2" ht="13">
      <c r="A116" s="101" t="str">
        <f ca="1">IFERROR(__xludf.DUMMYFUNCTION("""COMPUTED_VALUE"""),"Обеспечено внедрение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f>
        <v>Обеспечено внедрение обновленных примерных основных общеобразовательных программ, разработанных в рамках федерального проекта, в общеобразовательные организации всех субъектов Российской Федерации</v>
      </c>
      <c r="B116" s="101" t="str">
        <f ca="1">IFERROR(__xludf.DUMMYFUNCTION("""COMPUTED_VALUE"""),"индикатор")</f>
        <v>индикатор</v>
      </c>
    </row>
    <row r="117" spans="1:2" ht="13">
      <c r="A117" s="101" t="str">
        <f ca="1">IFERROR(__xludf.DUMMYFUNCTION("""COMPUTED_VALUE"""),"Не менее 70% обучающихся общеобразовательных организаций вовлечены в различные формы сопровождения и наставничества")</f>
        <v>Не менее 70% обучающихся общеобразовательных организаций вовлечены в различные формы сопровождения и наставничества</v>
      </c>
      <c r="B117" s="101" t="str">
        <f ca="1">IFERROR(__xludf.DUMMYFUNCTION("""COMPUTED_VALUE"""),"индикатор")</f>
        <v>индикатор</v>
      </c>
    </row>
    <row r="118" spans="1:2" ht="13">
      <c r="A118" s="101" t="str">
        <f ca="1">IFERROR(__xludf.DUMMYFUNCTION("""COMPUTED_VALUE"""),"Не менее 70% организаций, реализующих программы начального, основного и среднего общего образования, реализуют общеобразовательные программы в сетевой форме")</f>
        <v>Не менее 70% организаций, реализующих программы начального, основного и среднего общего образования, реализуют общеобразовательные программы в сетевой форме</v>
      </c>
      <c r="B118" s="101" t="str">
        <f ca="1">IFERROR(__xludf.DUMMYFUNCTION("""COMPUTED_VALUE"""),"индикатор")</f>
        <v>индикатор</v>
      </c>
    </row>
    <row r="119" spans="1:2" ht="13">
      <c r="A119" s="101" t="str">
        <f ca="1">IFERROR(__xludf.DUMMYFUNCTION("""COMPUTED_VALUE"""),"Не менее чем в 70% общеобразовательных организаций реализуются механизмы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f>
        <v>Не менее чем в 70% общеобразовательных организаций реализуются механизмы вовлечения общественно-деловых объединений и участия представителей работодателей в принятии решений по вопросам управления развитием общеобразовательной организации</v>
      </c>
      <c r="B119" s="101" t="str">
        <f ca="1">IFERROR(__xludf.DUMMYFUNCTION("""COMPUTED_VALUE"""),"индикатор")</f>
        <v>индикатор</v>
      </c>
    </row>
    <row r="120" spans="1:2" ht="13">
      <c r="A120" s="101" t="str">
        <f ca="1">IFERROR(__xludf.DUMMYFUNCTION("""COMPUTED_VALUE"""),"Создано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f>
        <v>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v>
      </c>
      <c r="B120" s="101" t="str">
        <f ca="1">IFERROR(__xludf.DUMMYFUNCTION("""COMPUTED_VALUE"""),"индикатор")</f>
        <v>индикатор</v>
      </c>
    </row>
    <row r="121" spans="1:2" ht="13">
      <c r="A121" s="101" t="str">
        <f ca="1">IFERROR(__xludf.DUMMYFUNCTION("""COMPUTED_VALUE"""),"Построено и введено в эксплуатацию не менее 25 школ с привлечением частных инвестиций на условиях возвратного финансирования")</f>
        <v>Построено и введено в эксплуатацию не менее 25 школ с привлечением частных инвестиций на условиях возвратного финансирования</v>
      </c>
      <c r="B121" s="101" t="str">
        <f ca="1">IFERROR(__xludf.DUMMYFUNCTION("""COMPUTED_VALUE"""),"индикатор")</f>
        <v>индикатор</v>
      </c>
    </row>
    <row r="122" spans="1:2" ht="13">
      <c r="A122" s="101" t="str">
        <f ca="1">IFERROR(__xludf.DUMMYFUNCTION("""COMPUTED_VALUE"""),"Создано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f>
        <v>Создано не менее 230 тыс. новых мест в общеобразовательных организациях (продолжение реализации приоритетного проекта "Современная образовательная среда для школьников")</v>
      </c>
      <c r="B122" s="101" t="str">
        <f ca="1">IFERROR(__xludf.DUMMYFUNCTION("""COMPUTED_VALUE"""),"индикатор")</f>
        <v>индикатор</v>
      </c>
    </row>
    <row r="123" spans="1:2" ht="13">
      <c r="A123" s="101" t="str">
        <f ca="1">IFERROR(__xludf.DUMMYFUNCTION("""COMPUTED_VALUE"""),"Созданы новые места в образовательных организациях различных типов для реализации дополнительных общеразвивающих программ всех направленностей ")</f>
        <v xml:space="preserve">Созданы новые места в образовательных организациях различных типов для реализации дополнительных общеразвивающих программ всех направленностей </v>
      </c>
      <c r="B123" s="101" t="str">
        <f ca="1">IFERROR(__xludf.DUMMYFUNCTION("""COMPUTED_VALUE"""),"индикатор")</f>
        <v>индикатор</v>
      </c>
    </row>
    <row r="124" spans="1:2" ht="13">
      <c r="A124" s="101" t="str">
        <f ca="1">IFERROR(__xludf.DUMMYFUNCTION("""COMPUTED_VALUE"""),"Не менее чем 12 млн. детей приняли участие в открытых онлайн-уроках, реализуемых с учетом опыта цикла открытых уроков ""Проектория"", направленных на раннюю профориентацию")</f>
        <v>Не менее чем 12 млн. детей приняли участие в открытых онлайн-уроках, реализуемых с учетом опыта цикла открытых уроков "Проектория", направленных на раннюю профориентацию</v>
      </c>
      <c r="B124" s="101" t="str">
        <f ca="1">IFERROR(__xludf.DUMMYFUNCTION("""COMPUTED_VALUE"""),"индикатор")</f>
        <v>индикатор</v>
      </c>
    </row>
    <row r="125" spans="1:2" ht="13">
      <c r="A125" s="101" t="str">
        <f ca="1">IFERROR(__xludf.DUMMYFUNCTION("""COMPUTED_VALUE"""),"Не менее 900 тыс. детей получили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с учетом реализации проекта ""Билет в будущее""")</f>
        <v>Не менее 900 тыс. детей получили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с учетом реализации проекта "Билет в будущее"</v>
      </c>
      <c r="B125" s="101" t="str">
        <f ca="1">IFERROR(__xludf.DUMMYFUNCTION("""COMPUTED_VALUE"""),"индикатор")</f>
        <v>индикатор</v>
      </c>
    </row>
    <row r="126" spans="1:2" ht="13">
      <c r="A126" s="101" t="str">
        <f ca="1">IFERROR(__xludf.DUMMYFUNCTION("""COMPUTED_VALUE"""),"Для 935 тыс. детей в не менее чем в 7000 общеобразовательных организаций, расположенных в сельской местности и малых городах, обновлена материально-техническая база для занятий физической культурой и спортом")</f>
        <v>Для 935 тыс. детей в не менее чем в 7000 общеобразовательных организаций, расположенных в сельской местности и малых городах, обновлена материально-техническая база для занятий физической культурой и спортом</v>
      </c>
      <c r="B126" s="101" t="str">
        <f ca="1">IFERROR(__xludf.DUMMYFUNCTION("""COMPUTED_VALUE"""),"индикатор")</f>
        <v>индикатор</v>
      </c>
    </row>
    <row r="127" spans="1:2" ht="13">
      <c r="A127" s="101" t="str">
        <f ca="1">IFERROR(__xludf.DUMMYFUNCTION("""COMPUTED_VALUE"""),"Созданы детские технопарки ""Кванториум""")</f>
        <v>Созданы детские технопарки "Кванториум"</v>
      </c>
      <c r="B127" s="101" t="str">
        <f ca="1">IFERROR(__xludf.DUMMYFUNCTION("""COMPUTED_VALUE"""),"индикатор")</f>
        <v>индикатор</v>
      </c>
    </row>
    <row r="128" spans="1:2" ht="13">
      <c r="A128" s="101" t="str">
        <f ca="1">IFERROR(__xludf.DUMMYFUNCTION("""COMPUTED_VALUE"""),"Не менее 70% детей с ограниченными возможностями здоровья осваивают дополнительные общеобразовательные программы, в том числе с использованием дистанционных технологий")</f>
        <v>Не менее 70% детей с ограниченными возможностями здоровья осваивают дополнительные общеобразовательные программы, в том числе с использованием дистанционных технологий</v>
      </c>
      <c r="B128" s="101" t="str">
        <f ca="1">IFERROR(__xludf.DUMMYFUNCTION("""COMPUTED_VALUE"""),"индикатор")</f>
        <v>индикатор</v>
      </c>
    </row>
    <row r="129" spans="1:2" ht="13">
      <c r="A129" s="101" t="str">
        <f ca="1">IFERROR(__xludf.DUMMYFUNCTION("""COMPUTED_VALUE"""),"Созданы ключевые центры дополнительного образования детей,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с"&amp;"оздании научных и научно-образовательных центров мирового уровня или обеспечивающих деятельность центров компетенций Национальной технологической инициативы.")</f>
        <v>Созданы ключевые центры дополнительного образования детей,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или обеспечивающих деятельность центров компетенций Национальной технологической инициативы.</v>
      </c>
      <c r="B129" s="101" t="str">
        <f ca="1">IFERROR(__xludf.DUMMYFUNCTION("""COMPUTED_VALUE"""),"индикатор")</f>
        <v>индикатор</v>
      </c>
    </row>
    <row r="130" spans="1:2" ht="13">
      <c r="A130" s="101" t="str">
        <f ca="1">IFERROR(__xludf.DUMMYFUNCTION("""COMPUTED_VALUE"""),"Оказана поддержка организациям на реализацию пилотных проектов по обновлению содержания и технологий дополнительного образования по приоритетным направлениям, в том числе поддержаны проекты по организации летних школ, организованных российскими образовате"&amp;"льными организациями, с участием не менее 18 тыс. детей и представителей молодежи из числа иностранных граждан ")</f>
        <v xml:space="preserve">Оказана поддержка организациям на реализацию пилотных проектов по обновлению содержания и технологий дополнительного образования по приоритетным направлениям, в том числе поддержаны проекты по организации летних школ, организованных российскими образовательными организациями, с участием не менее 18 тыс. детей и представителей молодежи из числа иностранных граждан </v>
      </c>
      <c r="B130" s="101" t="str">
        <f ca="1">IFERROR(__xludf.DUMMYFUNCTION("""COMPUTED_VALUE"""),"индикатор")</f>
        <v>индикатор</v>
      </c>
    </row>
    <row r="131" spans="1:2" ht="13">
      <c r="A131" s="101" t="str">
        <f ca="1">IFERROR(__xludf.DUMMYFUNCTION("""COMPUTED_VALUE"""),"Проведены всероссийские и международные олимпиады школьников, в целях обеспечения подготовки российских сборных команд, в том числе проведена Международная математическая олимпиада в Санкт-Петербурге")</f>
        <v>Проведены всероссийские и международные олимпиады школьников, в целях обеспечения подготовки российских сборных команд, в том числе проведена Международная математическая олимпиада в Санкт-Петербурге</v>
      </c>
      <c r="B131" s="101" t="str">
        <f ca="1">IFERROR(__xludf.DUMMYFUNCTION("""COMPUTED_VALUE"""),"индикатор")</f>
        <v>индикатор</v>
      </c>
    </row>
    <row r="132" spans="1:2" ht="13">
      <c r="A132" s="101" t="str">
        <f ca="1">IFERROR(__xludf.DUMMYFUNCTION("""COMPUTED_VALUE"""),"Созданы мобильные технопарки ""Кванториум"" (для детей, проживающих в сельской местности и малых городах)")</f>
        <v>Созданы мобильные технопарки "Кванториум" (для детей, проживающих в сельской местности и малых городах)</v>
      </c>
      <c r="B132" s="101" t="str">
        <f ca="1">IFERROR(__xludf.DUMMYFUNCTION("""COMPUTED_VALUE"""),"индикатор")</f>
        <v>индикатор</v>
      </c>
    </row>
    <row r="133" spans="1:2" ht="13">
      <c r="A133" s="101" t="str">
        <f ca="1">IFERROR(__xludf.DUMMYFUNCTION("""COMPUTED_VALUE"""),"Не менее чем 70% обучающихся организаций, осуществляющих образовательную деятельность по дополнительным общеобразовательным программам, вовлечены в различные формы наставничества")</f>
        <v>Не менее чем 70% обучающихся организаций, осуществляющих образовательную деятельность по дополнительным общеобразовательным программам, вовлечены в различные формы наставничества</v>
      </c>
      <c r="B133" s="101" t="str">
        <f ca="1">IFERROR(__xludf.DUMMYFUNCTION("""COMPUTED_VALUE"""),"индикатор")</f>
        <v>индикатор</v>
      </c>
    </row>
    <row r="134" spans="1:2" ht="13">
      <c r="A134" s="101" t="str">
        <f ca="1">IFERROR(__xludf.DUMMYFUNCTION("""COMPUTED_VALUE"""),"Оказано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числе"&amp;" с привлечением НКО")</f>
        <v>Оказано не менее 20 млн.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НКО</v>
      </c>
      <c r="B134" s="101" t="str">
        <f ca="1">IFERROR(__xludf.DUMMYFUNCTION("""COMPUTED_VALUE"""),"индикатор")</f>
        <v>индикатор</v>
      </c>
    </row>
    <row r="135" spans="1:2" ht="13">
      <c r="A135" s="101" t="str">
        <f ca="1">IFERROR(__xludf.DUMMYFUNCTION("""COMPUTED_VALUE"""),"Создан и функционирует Центр цифровой трансформации образования")</f>
        <v>Создан и функционирует Центр цифровой трансформации образования</v>
      </c>
      <c r="B135" s="101" t="str">
        <f ca="1">IFERROR(__xludf.DUMMYFUNCTION("""COMPUTED_VALUE"""),"индикатор")</f>
        <v>индикатор</v>
      </c>
    </row>
    <row r="136" spans="1:2" ht="13">
      <c r="A136" s="101" t="str">
        <f ca="1">IFERROR(__xludf.DUMMYFUNCTION("""COMPUTED_VALUE"""),"Разработаны и внедрены федеральная информационно-сервисная платформа цифровой образовательной среды, набор типовых информационных решений в целях реализации в образовательных организациях целевой модели цифровой образовательной среды")</f>
        <v>Разработаны и внедрены федеральная информационно-сервисная платформа цифровой образовательной среды, набор типовых информационных решений в целях реализации в образовательных организациях целевой модели цифровой образовательной среды</v>
      </c>
      <c r="B136" s="101" t="str">
        <f ca="1">IFERROR(__xludf.DUMMYFUNCTION("""COMPUTED_VALUE"""),"индикатор")</f>
        <v>индикатор</v>
      </c>
    </row>
    <row r="137" spans="1:2" ht="13">
      <c r="A137" s="101" t="str">
        <f ca="1">IFERROR(__xludf.DUMMYFUNCTION("""COMPUTED_VALUE"""),"Внедрена целевая модель цифровой образовательной среды в общеобразовательных организациях и профессиональных образовательных организациях во всех субъектах Российской Федерации")</f>
        <v>Внедрена целевая модель цифровой образовательной среды в общеобразовательных организациях и профессиональных образовательных организациях во всех субъектах Российской Федерации</v>
      </c>
      <c r="B137" s="101" t="str">
        <f ca="1">IFERROR(__xludf.DUMMYFUNCTION("""COMPUTED_VALUE"""),"индикатор")</f>
        <v>индикатор</v>
      </c>
    </row>
    <row r="138" spans="1:2" ht="13">
      <c r="A138" s="101" t="str">
        <f ca="1">IFERROR(__xludf.DUMMYFUNCTION("""COMPUTED_VALUE"""),"Созданы центры цифрового образования детей ""IT-куб""")</f>
        <v>Созданы центры цифрового образования детей "IT-куб"</v>
      </c>
      <c r="B138" s="101" t="str">
        <f ca="1">IFERROR(__xludf.DUMMYFUNCTION("""COMPUTED_VALUE"""),"индикатор")</f>
        <v>индикатор</v>
      </c>
    </row>
    <row r="139" spans="1:2" ht="13">
      <c r="A139" s="101" t="str">
        <f ca="1">IFERROR(__xludf.DUMMYFUNCTION("""COMPUTED_VALUE"""),"Не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f>
        <v>Не менее 50% педагогических работников системы общего, дополнительного и профессионального образования повысили уровень профессионального мастерства в форматах непрерывного образования</v>
      </c>
      <c r="B139" s="101" t="str">
        <f ca="1">IFERROR(__xludf.DUMMYFUNCTION("""COMPUTED_VALUE"""),"индикатор")</f>
        <v>индикатор</v>
      </c>
    </row>
    <row r="140" spans="1:2" ht="13">
      <c r="A140" s="101" t="str">
        <f ca="1">IFERROR(__xludf.DUMMYFUNCTION("""COMPUTED_VALUE"""),"Не менее 10% педагогических работников систем общего образования и дополнительного образования детей прошли добровольную независимую оценку профессиональной квалификации")</f>
        <v>Не менее 10% педагогических работников систем общего образования и дополнительного образования детей прошли добровольную независимую оценку профессиональной квалификации</v>
      </c>
      <c r="B140" s="101" t="str">
        <f ca="1">IFERROR(__xludf.DUMMYFUNCTION("""COMPUTED_VALUE"""),"индикатор")</f>
        <v>индикатор</v>
      </c>
    </row>
    <row r="141" spans="1:2" ht="13">
      <c r="A141" s="101" t="str">
        <f ca="1">IFERROR(__xludf.DUMMYFUNCTION("""COMPUTED_VALUE"""),"Не менее 70% учителей в возрасте до 35 лет вовлечены в различные формы поддержки и сопровождения в первые три года работы")</f>
        <v>Не менее 70% учителей в возрасте до 35 лет вовлечены в различные формы поддержки и сопровождения в первые три года работы</v>
      </c>
      <c r="B141" s="101" t="str">
        <f ca="1">IFERROR(__xludf.DUMMYFUNCTION("""COMPUTED_VALUE"""),"индикатор")</f>
        <v>индикатор</v>
      </c>
    </row>
    <row r="142" spans="1:2" ht="13">
      <c r="A142" s="101" t="str">
        <f ca="1">IFERROR(__xludf.DUMMYFUNCTION("""COMPUTED_VALUE"""),"Проведен Мировой чемпионат по профессиональному мастерству по стандартам Ворлдскиллс в 2019 году в г. Казани")</f>
        <v>Проведен Мировой чемпионат по профессиональному мастерству по стандартам Ворлдскиллс в 2019 году в г. Казани</v>
      </c>
      <c r="B142" s="101" t="str">
        <f ca="1">IFERROR(__xludf.DUMMYFUNCTION("""COMPUTED_VALUE"""),"индикатор")</f>
        <v>индикатор</v>
      </c>
    </row>
    <row r="143" spans="1:2" ht="13">
      <c r="A143" s="101" t="str">
        <f ca="1">IFERROR(__xludf.DUMMYFUNCTION("""COMPUTED_VALUE"""),"Не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f>
        <v>Не менее 25% обучающихся организаций, осуществляющих образовательную деятельность по образовательным программам среднего профессионального образования, проходят аттестацию с использованием механизма демонстрационного экзамена</v>
      </c>
      <c r="B143" s="101" t="str">
        <f ca="1">IFERROR(__xludf.DUMMYFUNCTION("""COMPUTED_VALUE"""),"индикатор")</f>
        <v>индикатор</v>
      </c>
    </row>
    <row r="144" spans="1:2" ht="13">
      <c r="A144" s="101" t="str">
        <f ca="1">IFERROR(__xludf.DUMMYFUNCTION("""COMPUTED_VALUE"""),"Создано 100 центров опережающей профессиональной подготовки")</f>
        <v>Создано 100 центров опережающей профессиональной подготовки</v>
      </c>
      <c r="B144" s="101" t="str">
        <f ca="1">IFERROR(__xludf.DUMMYFUNCTION("""COMPUTED_VALUE"""),"индикатор")</f>
        <v>индикатор</v>
      </c>
    </row>
    <row r="145" spans="1:2" ht="13">
      <c r="A145" s="101" t="str">
        <f ca="1">IFERROR(__xludf.DUMMYFUNCTION("""COMPUTED_VALUE"""),"Создано 5000 мастерских, оснащенных современной материально-технической базой по одной из компетенций")</f>
        <v>Создано 5000 мастерских, оснащенных современной материально-технической базой по одной из компетенций</v>
      </c>
      <c r="B145" s="101" t="str">
        <f ca="1">IFERROR(__xludf.DUMMYFUNCTION("""COMPUTED_VALUE"""),"индикатор")</f>
        <v>индикатор</v>
      </c>
    </row>
    <row r="146" spans="1:2" ht="13">
      <c r="A146" s="101" t="str">
        <f ca="1">IFERROR(__xludf.DUMMYFUNCTION("""COMPUTED_VALUE"""),"Не менее 70% обучающихся организаций, осуществляющих образовательную деятельность по образовательным программам среднего профессионального образования, вовлечены в различные формы наставничества")</f>
        <v>Не менее 70% обучающихся организаций, осуществляющих образовательную деятельность по образовательным программам среднего профессионального образования, вовлечены в различные формы наставничества</v>
      </c>
      <c r="B146" s="101" t="str">
        <f ca="1">IFERROR(__xludf.DUMMYFUNCTION("""COMPUTED_VALUE"""),"индикатор")</f>
        <v>индикатор</v>
      </c>
    </row>
    <row r="147" spans="1:2" ht="13">
      <c r="A147" s="101" t="str">
        <f ca="1">IFERROR(__xludf.DUMMYFUNCTION("""COMPUTED_VALUE"""),"Не менее 35 тыс. преподавателей (мастеров производственного обучения) прошли повышение квалификации по программам, основанным на опыте Союза Ворлдскиллс Россия, из них не менее 10 тыс. преподавателей (мастеров производственного обучения) сертифицированы в"&amp;" качестве экспертов Ворлдскиллс")</f>
        <v>Не менее 35 тыс. преподавателей (мастеров производственного обучения) прошли повышение квалификации по программам, основанным на опыте Союза Ворлдскиллс Россия, из них не менее 10 тыс. преподавателей (мастеров производственного обучения) сертифицированы в качестве экспертов Ворлдскиллс</v>
      </c>
      <c r="B147" s="101" t="str">
        <f ca="1">IFERROR(__xludf.DUMMYFUNCTION("""COMPUTED_VALUE"""),"индикатор")</f>
        <v>индикатор</v>
      </c>
    </row>
    <row r="148" spans="1:2" ht="13">
      <c r="A148" s="101" t="str">
        <f ca="1">IFERROR(__xludf.DUMMYFUNCTION("""COMPUTED_VALUE"""),"Реализуются мероприятия по ежегодному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f>
        <v>Реализуются мероприятия по ежегодному проведению национального чемпионата "Абилимпикс" и подготовке национальной сборной для участия в международных и национальных чемпионатах профессионального мастерства для людей с инвалидностью</v>
      </c>
      <c r="B148" s="101" t="str">
        <f ca="1">IFERROR(__xludf.DUMMYFUNCTION("""COMPUTED_VALUE"""),"индикатор")</f>
        <v>индикатор</v>
      </c>
    </row>
    <row r="149" spans="1:2" ht="13">
      <c r="A149" s="101" t="str">
        <f ca="1">IFERROR(__xludf.DUMMYFUNCTION("""COMPUTED_VALUE"""),"Проведена ротация и конкурсный отбор университетов, получающих государственную поддержку в целях повышения их конкурентоспособности среди ведущих мировых научно-образовательных центров (далее соответственно - ведущие университеты, глобальная конкурентоспо"&amp;"собность), не менее 30 университетов получают государственную поддержку (не менее 1 в каждом федеральном округе и не менее чем в 10 субъектах Российской Федерации); сформированы (актуализированы) их программы развития (""дорожные карты"") с учетом национа"&amp;"льных целей Российской Федерации до 2024 года")</f>
        <v>Проведена ротация и конкурсный отбор университетов, получающих государственную поддержку в целях повышения их конкурентоспособности среди ведущих мировых научно-образовательных центров (далее соответственно - ведущие университеты, глобальная конкурентоспособность), не менее 30 университетов получают государственную поддержку (не менее 1 в каждом федеральном округе и не менее чем в 10 субъектах Российской Федерации); сформированы (актуализированы) их программы развития ("дорожные карты") с учетом национальных целей Российской Федерации до 2024 года</v>
      </c>
      <c r="B149" s="101" t="str">
        <f ca="1">IFERROR(__xludf.DUMMYFUNCTION("""COMPUTED_VALUE"""),"индикатор")</f>
        <v>индикатор</v>
      </c>
    </row>
    <row r="150" spans="1:2" ht="13">
      <c r="A150" s="101" t="str">
        <f ca="1">IFERROR(__xludf.DUMMYFUNCTION("""COMPUTED_VALUE"""),"К 2024 году каждый ведущий университет (не менее 30), получающий государственную поддержку в целях повышения своей глобальной конкурентоспособности, обеспечивает достижение следующих показателей:
 - вхождение не менее двух лет подряд в топ-1000 глобальных"&amp;" институциональных рейтингов;
 - вхождение не менее двух лет подряд в топ-200 как минимум одного предметного или отраслевого глобального рейтинга;
 - размещение не менее 10 открытых онлайн-курсов на международных платформах онлайн-образования с общим числ"&amp;"ом слушателей по каждому курсу не менее 5000 не менее чем из 5 стран; 
 - доля научно-педагогических работников в возрасте до 35 лет составляет не менее 20% от общего числа научно-педагогических работников;
 - доля студентов, поступивших на обучение по пр"&amp;"ограммам магистратуры и имеющих высшее образование, полученное в других образовательных организациях высшего образования, составляет не менее 30% от общего числа поступивших в магистратуру;
 - общий конкурс по университету при приеме на обучение по програ"&amp;"ммам магистратуры составляет не менее 3 человек на место;
 - не менее 40% выпускников по программам аспирантуры защищают диссертации на соискание ученой степени кандидата наук (или ее зарубежных аналогов) не позднее года с момента завершения обучения;
 - "&amp;"сформирован фонд целевого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f>
        <v>К 2024 году каждый ведущий университет (не менее 30), получающий государственную поддержку в целях повышения своей глобальной конкурентоспособности, обеспечивает достижение следующих показателей:
 - вхождение не менее двух лет подряд в топ-1000 глобальных институциональных рейтингов;
 - вхождение не менее двух лет подряд в топ-200 как минимум одного предметного или отраслевого глобального рейтинга;
 - размещение не менее 10 открытых онлайн-курсов на международных платформах онлайн-образования с общим числом слушателей по каждому курсу не менее 5000 не менее чем из 5 стран; 
 - доля научно-педагогических работников в возрасте до 35 лет составляет не менее 20% от общего числа научно-педагогических работников;
 - доля студентов, поступивших на обучение по программам магистратуры и имеющих высшее образование, полученное в других образовательных организациях высшего образования, составляет не менее 30% от общего числа поступивших в магистратуру;
 - общий конкурс по университету при приеме на обучение по программам магистратуры составляет не менее 3 человек на место;
 - не менее 40% выпускников по программам аспирантуры защищают диссертации на соискание ученой степени кандидата наук (или ее зарубежных аналогов) не позднее года с момента завершения обучения;
 - сформирован фонд целевого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v>
      </c>
      <c r="B150" s="101" t="str">
        <f ca="1">IFERROR(__xludf.DUMMYFUNCTION("""COMPUTED_VALUE"""),"индикатор")</f>
        <v>индикатор</v>
      </c>
    </row>
    <row r="151" spans="1:2" ht="13">
      <c r="A151" s="101" t="str">
        <f ca="1">IFERROR(__xludf.DUMMYFUNCTION("""COMPUTED_VALUE"""),"Сформирован перечень, включающий не менее 80 образовательных организаций высшего образования не менее чем из 40 субъектов Российской Федерации, обеспечивающих подготовку кадров для базовых отраслей экономики и социальной сферы, в том числе в целях предост"&amp;"авления государственной поддержки")</f>
        <v>Сформирован перечень, включающий не менее 80 образовательных организаций высшего образования не менее чем из 40 субъектов Российской Федерации, обеспечивающих подготовку кадров для базовых отраслей экономики и социальной сферы, в том числе в целях предоставления государственной поддержки</v>
      </c>
      <c r="B151" s="101" t="str">
        <f ca="1">IFERROR(__xludf.DUMMYFUNCTION("""COMPUTED_VALUE"""),"индикатор")</f>
        <v>индикатор</v>
      </c>
    </row>
    <row r="152" spans="1:2" ht="13">
      <c r="A152" s="101" t="str">
        <f ca="1">IFERROR(__xludf.DUMMYFUNCTION("""COMPUTED_VALUE"""),"К 2024 году каждая образовательная организация высшего образования (не менее 80), обеспечивающая подготовку кадров для базовых отраслей экономики и социальной сферы, достигает следующих показателей:
 - совместно с партнерами реального сектора экономики ра"&amp;"зрабатывает адаптивные, практико-ориентированные и гибкие образовательные программы высшего образования, которые обеспечивают получение студентами профессиональных компетенций, отвечающих актуальным требования рынка труда, в том числе в области цифровой э"&amp;"кономики, предпринимательства, командной и проектной работы, здоровьесбережения применительно к их будущим областям профессиональной деятельности;
 - не менее 70% научно-педагогических работников постоянно обновляют свои профессиональные знания и компетен"&amp;"ции на основе актуальных достижений науки и технологий, современных профессиональных требований, перспективных задач отрасли;
 - не менее 70% работников из числа профессорско-преподавательского состава участвуют в исследованиях и разработках по вопросам, "&amp;"относящимся к предмету преподавания, привлекают к этим исследованиям обучающихся;
 - наличие программ развития, разработанных совместно с органами государственной власти субъектов Российской Федерации, предусматривающих в том числе трудоустройство выпускн"&amp;"иков в данных субъектах Российской Федерации (за исключением городов Москвы и Санкт-Петербурга);
 - не менее 10% выпускников трудоустраиваются на основе договора о целевом обучении (за исключением городов Москвы и Санкт-Петербурга);
 - сформирован фонд це"&amp;"левого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f>
        <v>К 2024 году каждая образовательная организация высшего образования (не менее 80), обеспечивающая подготовку кадров для базовых отраслей экономики и социальной сферы, достигает следующих показателей:
 - совместно с партнерами реального сектора экономики разрабатывает адаптивные, практико-ориентированные и гибкие образовательные программы высшего образования, которые обеспечивают получение студентами профессиональных компетенций, отвечающих актуальным требования рынка труда, в том числе в области цифровой экономики, предпринимательства, командной и проектной работы, здоровьесбережения применительно к их будущим областям профессиональной деятельности;
 - не менее 70% научно-педагогических работников постоянно обновляют свои профессиональные знания и компетенции на основе актуальных достижений науки и технологий, современных профессиональных требований, перспективных задач отрасли;
 - не менее 70% работников из числа профессорско-преподавательского состава участвуют в исследованиях и разработках по вопросам, относящимся к предмету преподавания, привлекают к этим исследованиям обучающихся;
 - наличие программ развития, разработанных совместно с органами государственной власти субъектов Российской Федерации, предусматривающих в том числе трудоустройство выпускников в данных субъектах Российской Федерации (за исключением городов Москвы и Санкт-Петербурга);
 - не менее 10% выпускников трудоустраиваются на основе договора о целевом обучении (за исключением городов Москвы и Санкт-Петербурга);
 - сформирован фонд целевого капитала;
 - вовлечение общественно-деловых объединений и представителей работодателей в управление образовательной организацией, в том числе через представительство в коллегиальных органах управления.</v>
      </c>
      <c r="B152" s="101" t="str">
        <f ca="1">IFERROR(__xludf.DUMMYFUNCTION("""COMPUTED_VALUE"""),"индикатор")</f>
        <v>индикатор</v>
      </c>
    </row>
    <row r="153" spans="1:2" ht="13">
      <c r="A153" s="101" t="str">
        <f ca="1">IFERROR(__xludf.DUMMYFUNCTION("""COMPUTED_VALUE"""),"На конкурсной основе ежегодно отбирается не менее 30 научно-педагогических работников из университетов, входящих в топ-200 предметных глобальных рейтингов, которым предоставляются гранты для:
 - разработки передовых образовательных программ высшего образо"&amp;"вания и их отдельных частей (рабочих программ, модулей, курсов и т.д.) по приоритетным направлениям подготовки кадров, специальностям с учетом запросов партнеров реального сектора экономики и мировых научно-технологических трендов;
 - тиражирования данных"&amp;" образовательных программ (образовательного контента) не менее чем в 30 российских образовательных организациях высшего образования и научных организациях (за исключением организаций, расположенных в Москве и Санкт-Петербурге), в том числе с использование"&amp;"м механизмов сетевой формы реализации образовательных программ;
 - повышения квалификации и стажировки научно-педагогических работников не менее чем в 30 российских образовательных организаций высшего образования и научных организаций (за исключением орга"&amp;"низаций, расположенных в Москве и Санкт-Петербурге) в целях дальнейшей реализации ими данных образовательных программ (образовательного контента).")</f>
        <v>На конкурсной основе ежегодно отбирается не менее 30 научно-педагогических работников из университетов, входящих в топ-200 предметных глобальных рейтингов, которым предоставляются гранты для:
 - разработки передовых образовательных программ высшего образования и их отдельных частей (рабочих программ, модулей, курсов и т.д.) по приоритетным направлениям подготовки кадров, специальностям с учетом запросов партнеров реального сектора экономики и мировых научно-технологических трендов;
 - тиражирования данных образовательных программ (образовательного контента) не менее чем в 30 российских образовательных организациях высшего образования и научных организациях (за исключением организаций, расположенных в Москве и Санкт-Петербурге), в том числе с использованием механизмов сетевой формы реализации образовательных программ;
 - повышения квалификации и стажировки научно-педагогических работников не менее чем в 30 российских образовательных организаций высшего образования и научных организаций (за исключением организаций, расположенных в Москве и Санкт-Петербурге) в целях дальнейшей реализации ими данных образовательных программ (образовательного контента).</v>
      </c>
      <c r="B153" s="101" t="str">
        <f ca="1">IFERROR(__xludf.DUMMYFUNCTION("""COMPUTED_VALUE"""),"индикатор")</f>
        <v>индикатор</v>
      </c>
    </row>
    <row r="154" spans="1:2" ht="13">
      <c r="A154" s="101" t="str">
        <f ca="1">IFERROR(__xludf.DUMMYFUNCTION("""COMPUTED_VALUE"""),"К 2024 году не менее 20% обучающихся по образовательным программам высшего образования осваивают отдельные курсы, дисциплины (модули), в том числе в формате онлайн-курсов, с использованием ресурсов иных организаций, осуществляющих образовательную деятельн"&amp;"ость, в том числе университетов, обеспечивающих соответствие качества подготовки обучающихся мировому уровню")</f>
        <v>К 2024 году не менее 20% обучающихся по образовательным программам высшего образования осваивают отдельные курсы, дисциплины (модули), в том числе в формате онлайн-курсов, с использованием ресурсов иных организаций, осуществляющих образовательную деятельность, в том числе университетов, обеспечивающих соответствие качества подготовки обучающихся мировому уровню</v>
      </c>
      <c r="B154" s="101" t="str">
        <f ca="1">IFERROR(__xludf.DUMMYFUNCTION("""COMPUTED_VALUE"""),"индикатор")</f>
        <v>индикатор</v>
      </c>
    </row>
    <row r="155" spans="1:2" ht="13">
      <c r="A155" s="101" t="str">
        <f ca="1">IFERROR(__xludf.DUMMYFUNCTION("""COMPUTED_VALUE"""),"К 2024 году не менее 15% научно-педагогических работников университетов, входящих в топ-500 глобальных институциональных рейтингов, участвуют в реализации образовательных программ других организаций, осуществляющих образовательную деятельность по образова"&amp;"тельным программам высшего образования, в том числе посредством онлайн-курсов")</f>
        <v>К 2024 году не менее 15% научно-педагогических работников университетов, входящих в топ-500 глобальных институциональных рейтингов, участвуют в реализации образовательных программ других организаций, осуществляющих образовательную деятельность по образовательным программам высшего образования, в том числе посредством онлайн-курсов</v>
      </c>
      <c r="B155" s="101" t="str">
        <f ca="1">IFERROR(__xludf.DUMMYFUNCTION("""COMPUTED_VALUE"""),"индикатор")</f>
        <v>индикатор</v>
      </c>
    </row>
    <row r="156" spans="1:2" ht="13">
      <c r="A156" s="101" t="str">
        <f ca="1">IFERROR(__xludf.DUMMYFUNCTION("""COMPUTED_VALUE"""),"Реализованы общесистемные механизмы (не менее 2) повышения глобальной конкурентоспособности российского высшего образования")</f>
        <v>Реализованы общесистемные механизмы (не менее 2) повышения глобальной конкурентоспособности российского высшего образования</v>
      </c>
      <c r="B156" s="101" t="str">
        <f ca="1">IFERROR(__xludf.DUMMYFUNCTION("""COMPUTED_VALUE"""),"индикатор")</f>
        <v>индикатор</v>
      </c>
    </row>
    <row r="157" spans="1:2" ht="13">
      <c r="A157" s="101" t="str">
        <f ca="1">IFERROR(__xludf.DUMMYFUNCTION("""COMPUTED_VALUE"""),"Проведена подготовка, проведение и обеспечено участие российской сборной в чемпионатах по профессиональному мастерству, проводимых международной организацией ""WorldSkills Inter0tio0l""")</f>
        <v>Проведена подготовка, проведение и обеспечено участие российской сборной в чемпионатах по профессиональному мастерству, проводимых международной организацией "WorldSkills Inter0tio0l"</v>
      </c>
      <c r="B157" s="101" t="str">
        <f ca="1">IFERROR(__xludf.DUMMYFUNCTION("""COMPUTED_VALUE"""),"индикатор")</f>
        <v>индикатор</v>
      </c>
    </row>
    <row r="158" spans="1:2" ht="13">
      <c r="A158" s="101" t="str">
        <f ca="1">IFERROR(__xludf.DUMMYFUNCTION("""COMPUTED_VALUE"""),"Проведен X Международный чемпионат «Абилимпикс» в Российской Федерации в 2021 году")</f>
        <v>Проведен X Международный чемпионат «Абилимпикс» в Российской Федерации в 2021 году</v>
      </c>
      <c r="B158" s="101" t="str">
        <f ca="1">IFERROR(__xludf.DUMMYFUNCTION("""COMPUTED_VALUE"""),"индикатор")</f>
        <v>индикатор</v>
      </c>
    </row>
    <row r="159" spans="1:2" ht="13">
      <c r="A159" s="101" t="str">
        <f ca="1">IFERROR(__xludf.DUMMYFUNCTION("""COMPUTED_VALUE"""),"Проведен европейский чемпионат по профессиональному мастерству по стандартам «Ворлдскиллс» в г. Санкт-Петербурге в 2022 году")</f>
        <v>Проведен европейский чемпионат по профессиональному мастерству по стандартам «Ворлдскиллс» в г. Санкт-Петербурге в 2022 году</v>
      </c>
      <c r="B159" s="101" t="str">
        <f ca="1">IFERROR(__xludf.DUMMYFUNCTION("""COMPUTED_VALUE"""),"индикатор")</f>
        <v>индикатор</v>
      </c>
    </row>
    <row r="160" spans="1:2" ht="13">
      <c r="A160" s="101" t="str">
        <f ca="1">IFERROR(__xludf.DUMMYFUNCTION("""COMPUTED_VALUE"""),"Осуществлена подготовка научно-педагогических работников и работников организаций-работодателей к реализации современных программ непрерывного образования (обучение по программам повышения квалификации прошли не менее 30 тыс. человек), в том числе, по год"&amp;"ам нарастающим итогом:")</f>
        <v>Осуществлена подготовка научно-педагогических работников и работников организаций-работодателей к реализации современных программ непрерывного образования (обучение по программам повышения квалификации прошли не менее 30 тыс. человек), в том числе, по годам нарастающим итогом:</v>
      </c>
      <c r="B160" s="101" t="str">
        <f ca="1">IFERROR(__xludf.DUMMYFUNCTION("""COMPUTED_VALUE"""),"индикатор")</f>
        <v>индикатор</v>
      </c>
    </row>
    <row r="161" spans="1:2" ht="13">
      <c r="A161" s="101" t="str">
        <f ca="1">IFERROR(__xludf.DUMMYFUNCTION("""COMPUTED_VALUE"""),"Не менее 20% научно-педагогических работников образовательных организаций высшего образования участвуют в реализации программ непрерывного образования (дополнительных образовательных программ и программ профессионального обучения).")</f>
        <v>Не менее 20% научно-педагогических работников образовательных организаций высшего образования участвуют в реализации программ непрерывного образования (дополнительных образовательных программ и программ профессионального обучения).</v>
      </c>
      <c r="B161" s="101" t="str">
        <f ca="1">IFERROR(__xludf.DUMMYFUNCTION("""COMPUTED_VALUE"""),"индикатор")</f>
        <v>индикатор</v>
      </c>
    </row>
    <row r="162" spans="1:2" ht="13">
      <c r="A162" s="101" t="str">
        <f ca="1">IFERROR(__xludf.DUMMYFUNCTION("""COMPUTED_VALUE"""),"Прошли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f>
        <v>Прошли обучение по программам непрерывного образования в образовательных организациях высшего образования, реализующих дополнительные образовательные программы и программы профессионального обучения:</v>
      </c>
      <c r="B162" s="101" t="str">
        <f ca="1">IFERROR(__xludf.DUMMYFUNCTION("""COMPUTED_VALUE"""),"индикатор")</f>
        <v>индикатор</v>
      </c>
    </row>
    <row r="163" spans="1:2" ht="13">
      <c r="A163" s="101" t="str">
        <f ca="1">IFERROR(__xludf.DUMMYFUNCTION("""COMPUTED_VALUE"""),"На базе подмосковного образовательного молодежного центра (Мастерской управления ""Сенеж"") проведены образовательные мероприятия, ежегодное количество участников которых не менее 12 тыс. человек, в том числе проведены мероприятия проектов платформы ""Рос"&amp;"сия - страна возможностей""")</f>
        <v>На базе подмосковного образовательного молодежного центра (Мастерской управления "Сенеж") проведены образовательные мероприятия, ежегодное количество участников которых не менее 12 тыс. человек, в том числе проведены мероприятия проектов платформы "Россия - страна возможностей"</v>
      </c>
      <c r="B163" s="101" t="str">
        <f ca="1">IFERROR(__xludf.DUMMYFUNCTION("""COMPUTED_VALUE"""),"индикатор")</f>
        <v>индикатор</v>
      </c>
    </row>
    <row r="164" spans="1:2" ht="13">
      <c r="A164" s="101" t="str">
        <f ca="1">IFERROR(__xludf.DUMMYFUNCTION("""COMPUTED_VALUE"""),"Ежегодно, начиная с 2019 года, в весенне-летний период разработаны и проведены 10 образовательных программ в рамках Форума молодых деятелей культуры и искусства ""Таврида"" . 
 На базе образовательного центра для молодых деятелей культуры и искусства ""Ар"&amp;"т-резиденция ""Таврида"", начиная с 2022 года, ежегодно в период с сентября по июнь включительно проводятся по две 10-дневные смены.")</f>
        <v>Ежегодно, начиная с 2019 года, в весенне-летний период разработаны и проведены 10 образовательных программ в рамках Форума молодых деятелей культуры и искусства "Таврида" . 
 На базе образовательного центра для молодых деятелей культуры и искусства "Арт-резиденция "Таврида", начиная с 2022 года, ежегодно в период с сентября по июнь включительно проводятся по две 10-дневные смены.</v>
      </c>
      <c r="B164" s="101" t="str">
        <f ca="1">IFERROR(__xludf.DUMMYFUNCTION("""COMPUTED_VALUE"""),"индикатор")</f>
        <v>индикатор</v>
      </c>
    </row>
    <row r="165" spans="1:2" ht="13">
      <c r="A165" s="101" t="str">
        <f ca="1">IFERROR(__xludf.DUMMYFUNCTION("""COMPUTED_VALUE"""),"Проводится Фестиваль творческих сообществ ""Таврида-АРТ"" , участие в котором принимают не менее 30 тыс. человек. Ежегодное увеличение количества участников - 5 тыс. человек")</f>
        <v>Проводится Фестиваль творческих сообществ "Таврида-АРТ" , участие в котором принимают не менее 30 тыс. человек. Ежегодное увеличение количества участников - 5 тыс. человек</v>
      </c>
      <c r="B165" s="101" t="str">
        <f ca="1">IFERROR(__xludf.DUMMYFUNCTION("""COMPUTED_VALUE"""),"индикатор")</f>
        <v>индикатор</v>
      </c>
    </row>
    <row r="166" spans="1:2" ht="13">
      <c r="A166" s="101" t="str">
        <f ca="1">IFERROR(__xludf.DUMMYFUNCTION("""COMPUTED_VALUE"""),"Оказана поддержка организации, деятельность которой направлена на эффективное развитие волонтерских (добровольческих) инициатив в сфере образования, физической культуры, здравоохранения, спорта, культуры, гражданско-патриотического воспитания, охраны окру"&amp;"жающей среды, социальной защиты населения и информационных технологий, в том числе на формирование единой площадки по взаимодействию институтов добровольческой (волонтерской) деятельности, создание унифицированной системы учета добровольческой (волонтерск"&amp;"ой) деятельности. К 2024 году не менее 1 100 тыс. человек использует единую информационную систему в сфере развития добровольчества, представляющую собой систему эффективного поиска информации, взаимодействия, коммуникации и обучения добровольцев, комплек"&amp;"сного учета волонтерского опыта и компетенций, объединения запросов и предложений волонтерской помощи в одном месте, способствующую комплексному решению задач по созданию условий для развития добровольчества")</f>
        <v>Оказана поддержка организации, деятельность которой направлена на эффективное развитие волонтерских (добровольческих) инициатив в сфере образования, физической культуры, здравоохранения, спорта, культуры, гражданско-патриотического воспитания, охраны окружающей среды, социальной защиты населения и информационных технологий, в том числе на формирование единой площадки по взаимодействию институтов добровольческой (волонтерской) деятельности, создание унифицированной системы учета добровольческой (волонтерской) деятельности. К 2024 году не менее 1 100 тыс. человек использует единую информационную систему в сфере развития добровольчества, представляющую собой систему эффективного поиска информации, взаимодействия, коммуникации и обучения добровольцев, комплексного учета волонтерского опыта и компетенций, объединения запросов и предложений волонтерской помощи в одном месте, способствующую комплексному решению задач по созданию условий для развития добровольчества</v>
      </c>
      <c r="B166" s="101" t="str">
        <f ca="1">IFERROR(__xludf.DUMMYFUNCTION("""COMPUTED_VALUE"""),"индикатор")</f>
        <v>индикатор</v>
      </c>
    </row>
    <row r="167" spans="1:2" ht="13">
      <c r="A167" s="101" t="str">
        <f ca="1">IFERROR(__xludf.DUMMYFUNCTION("""COMPUTED_VALUE"""),"Осуществлены мероприятия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("&amp;"волонтерства),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числе"&amp;"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учрежде"&amp;"ний, осуществляющих деятельность в сфере добровольчества (волонтерства)")</f>
        <v>Осуществлены мероприятия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 К концу 2024 года по итогам мероприятий координаторам добровольцев (волонтеров) выдано 25 тыс. сертификатов (в том числе он-лайн) о прохождении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v>
      </c>
      <c r="B167" s="101" t="str">
        <f ca="1">IFERROR(__xludf.DUMMYFUNCTION("""COMPUTED_VALUE"""),"индикатор")</f>
        <v>индикатор</v>
      </c>
    </row>
    <row r="168" spans="1:2" ht="13">
      <c r="A168" s="101" t="str">
        <f ca="1">IFERROR(__xludf.DUMMYFUNCTION("""COMPUTED_VALUE"""),"Оказана поддержка организациям на реализацию мероприятий, направленных на развитие добровольчества (волонтерства), в том числе в рамках развития межнационального сотрудничества, сохранения культуры и традиций народов России и гражданско-патриотического во"&amp;"спитания молодежи, эффективного развития волонтерских (добровольческих) инициатив, развития медицинского добровольчества. В 85 субъектах Российской Федерации создана и внедрена система социальной поддержки граждан, систематически участвующих в добровольче"&amp;"ских (волонтерских) проектах, в том числе обеспечены персонализированный учет волонтеров, организаций, развивающих волонтерскую деятельность, повышение уровня мобильности в целях участия в волонтерских мероприятиях и обучающих стажировках, проводимых в су"&amp;"бъектах Российской Федерации и иностранных государствах, учреждение наград и званий, стипендиальная поддержка (для обучающихся), нематериальная поддержка граждан, участвующих в добровольческой деятельности»")</f>
        <v>Оказана поддержка организациям на реализацию мероприятий, направленных на развитие добровольчества (волонтерства), в том числе в рамках развития межнационального сотрудничества, сохранения культуры и традиций народов России и гражданско-патриотического воспитания молодежи, эффективного развития волонтерских (добровольческих) инициатив, развития медицинского добровольчества. В 85 субъектах Российской Федерации создана и внедрена система социальной поддержки граждан, систематически участвующих в добровольческих (волонтерских) проектах, в том числе обеспечены персонализированный учет волонтеров, организаций, развивающих волонтерскую деятельность, повышение уровня мобильности в целях участия в волонтерских мероприятиях и обучающих стажировках, проводимых в субъектах Российской Федерации и иностранных государствах, учреждение наград и званий, стипендиальная поддержка (для обучающихся), нематериальная поддержка граждан, участвующих в добровольческой деятельности»</v>
      </c>
      <c r="B168" s="101" t="str">
        <f ca="1">IFERROR(__xludf.DUMMYFUNCTION("""COMPUTED_VALUE"""),"индикатор")</f>
        <v>индикатор</v>
      </c>
    </row>
    <row r="169" spans="1:2" ht="13">
      <c r="A169" s="101" t="str">
        <f ca="1">IFERROR(__xludf.DUMMYFUNCTION("""COMPUTED_VALUE"""),"В целях популяризации добровольчества (волонтерства) проведена информационная и рекламная кампания, в том числе рекламные ролики на ТВ и в сети ""Интернет"", охват аудитории теле- и радиорекламы составляет не менее 10 000 000 человек ежегодно, а также в с"&amp;"ети ""Интернет"" и социальных сетях размещается не менее 1 000 информационных материалов в год")</f>
        <v>В целях популяризации добровольчества (волонтерства) проведена информационная и рекламная кампания, в том числе рекламные ролики на ТВ и в сети "Интернет", охват аудитории теле- и радиорекламы составляет не менее 10 000 000 человек ежегодно, а также в сети "Интернет" и социальных сетях размещается не менее 1 000 информационных материалов в год</v>
      </c>
      <c r="B169" s="101" t="str">
        <f ca="1">IFERROR(__xludf.DUMMYFUNCTION("""COMPUTED_VALUE"""),"индикатор")</f>
        <v>индикатор</v>
      </c>
    </row>
    <row r="170" spans="1:2" ht="13">
      <c r="A170" s="101" t="str">
        <f ca="1">IFERROR(__xludf.DUMMYFUNCTION("""COMPUTED_VALUE"""),"Реализовано не менее 3 всероссийских, 4 окружных молодежных проектов и мероприятий по различным направлениям добровольчества")</f>
        <v>Реализовано не менее 3 всероссийских, 4 окружных молодежных проектов и мероприятий по различным направлениям добровольчества</v>
      </c>
      <c r="B170" s="101" t="str">
        <f ca="1">IFERROR(__xludf.DUMMYFUNCTION("""COMPUTED_VALUE"""),"индикатор")</f>
        <v>индикатор</v>
      </c>
    </row>
    <row r="171" spans="1:2" ht="13">
      <c r="A171" s="101" t="str">
        <f ca="1">IFERROR(__xludf.DUMMYFUNCTION("""COMPUTED_VALUE"""),"Проходят обучение в летних и зимних школах, в том числе на базе летних оздоровительных лагерей, тыс. иностранных граждан нарастающим итогом:")</f>
        <v>Проходят обучение в летних и зимних школах, в том числе на базе летних оздоровительных лагерей, тыс. иностранных граждан нарастающим итогом:</v>
      </c>
      <c r="B171" s="101" t="str">
        <f ca="1">IFERROR(__xludf.DUMMYFUNCTION("""COMPUTED_VALUE"""),"индикатор")</f>
        <v>индикатор</v>
      </c>
    </row>
    <row r="172" spans="1:2" ht="13">
      <c r="A172" s="101" t="str">
        <f ca="1">IFERROR(__xludf.DUMMYFUNCTION("""COMPUTED_VALUE"""),"Не менее 5% преподавателей организаций, осуществляющих образовательную деятельность по образовательным программам высшего образования и дополнительным профессиональным программам, реализуют учебные дисциплины, курсы (модули) на иностранном языке")</f>
        <v>Не менее 5% преподавателей организаций, осуществляющих образовательную деятельность по образовательным программам высшего образования и дополнительным профессиональным программам, реализуют учебные дисциплины, курсы (модули) на иностранном языке</v>
      </c>
      <c r="B172" s="101" t="str">
        <f ca="1">IFERROR(__xludf.DUMMYFUNCTION("""COMPUTED_VALUE"""),"индикатор")</f>
        <v>индикатор</v>
      </c>
    </row>
    <row r="173" spans="1:2" ht="13">
      <c r="A173" s="101" t="str">
        <f ca="1">IFERROR(__xludf.DUMMYFUNCTION("""COMPUTED_VALUE"""),"По итогам международных и российских олимпиад и конкурсов отбирается иностранных граждан от общего числа иностранных граждан, принятых на первый курс в пределах квоты, установленной Правительством Российской Федерации, для обучения в российских организаци"&amp;"ях, осуществляющих образовательную деятельность по образовательным программам высшего образования, по востребованным (дефицитным) направлениям подготовки, специальностям:")</f>
        <v>По итогам международных и российских олимпиад и конкурсов отбирается иностранных граждан от общего числа иностранных граждан, принятых на первый курс в пределах квоты, установленной Правительством Российской Федерации, для обучения в российских организациях, осуществляющих образовательную деятельность по образовательным программам высшего образования, по востребованным (дефицитным) направлениям подготовки, специальностям:</v>
      </c>
      <c r="B173" s="101" t="str">
        <f ca="1">IFERROR(__xludf.DUMMYFUNCTION("""COMPUTED_VALUE"""),"индикатор")</f>
        <v>индикатор</v>
      </c>
    </row>
    <row r="174" spans="1:2" ht="13">
      <c r="A174" s="101" t="str">
        <f ca="1">IFERROR(__xludf.DUMMYFUNCTION("""COMPUTED_VALUE"""),"Разработаны не менее 10 специализированных сайтов в сети ""Интернет"" для привлечения на обучение иностранных граждан, ориентированных на конкретную аудиторию с учетом референтных групп стран-партнеров")</f>
        <v>Разработаны не менее 10 специализированных сайтов в сети "Интернет" для привлечения на обучение иностранных граждан, ориентированных на конкретную аудиторию с учетом референтных групп стран-партнеров</v>
      </c>
      <c r="B174" s="101" t="str">
        <f ca="1">IFERROR(__xludf.DUMMYFUNCTION("""COMPUTED_VALUE"""),"индикатор")</f>
        <v>индикатор</v>
      </c>
    </row>
    <row r="175" spans="1:2" ht="13">
      <c r="A175" s="101" t="str">
        <f ca="1">IFERROR(__xludf.DUMMYFUNCTION("""COMPUTED_VALUE"""),"Создано 50 ресурсных центров для детей и педагогов, обеспечивающих популяризацию изучения общеобразовательных предметов (математика, биология, химия, физика, астрономия и другие) на углубленном уровне (на русском языке) в странах-партнерах, в том числе с "&amp;"использованием сети Россотрудничества, российских центров науки и культуры, офисов транснациональных и российских компаний за рубежом, в том числе по годам нарастающим итогом:")</f>
        <v>Создано 50 ресурсных центров для детей и педагогов, обеспечивающих популяризацию изучения общеобразовательных предметов (математика, биология, химия, физика, астрономия и другие) на углубленном уровне (на русском языке) в странах-партнерах, в том числе с использованием сети Россотрудничества, российских центров науки и культуры, офисов транснациональных и российских компаний за рубежом, в том числе по годам нарастающим итогом:</v>
      </c>
      <c r="B175" s="101" t="str">
        <f ca="1">IFERROR(__xludf.DUMMYFUNCTION("""COMPUTED_VALUE"""),"индикатор")</f>
        <v>индикатор</v>
      </c>
    </row>
    <row r="176" spans="1:2" ht="13">
      <c r="A176" s="101" t="str">
        <f ca="1">IFERROR(__xludf.DUMMYFUNCTION("""COMPUTED_VALUE"""),"Обеспечены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реконст"&amp;"рукция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f>
        <v>Обеспечены комфортные условия проживания, возможность проведения учебных занятий и организации самостоятельной работы обучающихся, проведения культурно-массовых, досуговых мероприятий и занятий спортом. Осуществлено проектирование, строительство и реконструкция студенческих городков, а также приобретение объектов недвижимого имущества для временного проживания иностранных и иногородних обучающихся и научно-педагогических работников общей проектной мощностью по годам нарастающим итогом:</v>
      </c>
      <c r="B176" s="101" t="str">
        <f ca="1">IFERROR(__xludf.DUMMYFUNCTION("""COMPUTED_VALUE"""),"индикатор")</f>
        <v>индикатор</v>
      </c>
    </row>
    <row r="177" spans="1:2" ht="13">
      <c r="A177" s="101" t="str">
        <f ca="1">IFERROR(__xludf.DUMMYFUNCTION("""COMPUTED_VALUE"""),"Увеличено не менее чем в два раза по сравнению с 2017 годом количество иностранных граждан, обучающихся в организациях, осуществляющих образовательную деятельность, по программам высшего образования, нарастающим итогом:")</f>
        <v>Увеличено не менее чем в два раза по сравнению с 2017 годом количество иностранных граждан, обучающихся в организациях, осуществляющих образовательную деятельность, по программам высшего образования, нарастающим итогом:</v>
      </c>
      <c r="B177" s="101" t="str">
        <f ca="1">IFERROR(__xludf.DUMMYFUNCTION("""COMPUTED_VALUE"""),"индикатор")</f>
        <v>индикатор</v>
      </c>
    </row>
    <row r="178" spans="1:2" ht="13">
      <c r="A178" s="101" t="str">
        <f ca="1">IFERROR(__xludf.DUMMYFUNCTION("""COMPUTED_VALUE"""),"Из числа иностранных обучающихся, завершивших обучение в организациях, осуществляющих образовательную деятельность по программам высшего образования, по востребованным (дефицитным) направлениям подготовки, не менее 5% трудоустроено в российских компаниях,"&amp;" в том числе для работы за рубежом")</f>
        <v>Из числа иностранных обучающихся, завершивших обучение в организациях, осуществляющих образовательную деятельность по программам высшего образования, по востребованным (дефицитным) направлениям подготовки, не менее 5% трудоустроено в российских компаниях, в том числе для работы за рубежом</v>
      </c>
      <c r="B178" s="101" t="str">
        <f ca="1">IFERROR(__xludf.DUMMYFUNCTION("""COMPUTED_VALUE"""),"индикатор")</f>
        <v>индикатор</v>
      </c>
    </row>
    <row r="179" spans="1:2" ht="13">
      <c r="A179" s="101" t="str">
        <f ca="1">IFERROR(__xludf.DUMMYFUNCTION("""COMPUTED_VALUE"""),"К 2024 году не менее 60 университетов реализуют не менее чем по 5 образовательных программ, прошедших международную аккредитацию")</f>
        <v>К 2024 году не менее 60 университетов реализуют не менее чем по 5 образовательных программ, прошедших международную аккредитацию</v>
      </c>
      <c r="B179" s="101" t="str">
        <f ca="1">IFERROR(__xludf.DUMMYFUNCTION("""COMPUTED_VALUE"""),"индикатор")</f>
        <v>индикатор</v>
      </c>
    </row>
    <row r="180" spans="1:2" ht="13">
      <c r="A180" s="101" t="str">
        <f ca="1">IFERROR(__xludf.DUMMYFUNCTION("""COMPUTED_VALUE"""),"Реализована модель поддержки и развития экспорта образования по группам стран-партнеров и территориально-отраслевым сегментам мирового рынка с целью эффективного обеспечения высококвалифицированными кадрами экспортно ориентированных секторов российской эк"&amp;"ономики")</f>
        <v>Реализована модель поддержки и развития экспорта образования по группам стран-партнеров и территориально-отраслевым сегментам мирового рынка с целью эффективного обеспечения высококвалифицированными кадрами экспортно ориентированных секторов российской экономики</v>
      </c>
      <c r="B180" s="101" t="str">
        <f ca="1">IFERROR(__xludf.DUMMYFUNCTION("""COMPUTED_VALUE"""),"индикатор")</f>
        <v>индикатор</v>
      </c>
    </row>
    <row r="181" spans="1:2" ht="13">
      <c r="A181" s="101" t="str">
        <f ca="1">IFERROR(__xludf.DUMMYFUNCTION("""COMPUTED_VALUE"""),"Реализована поддержка образовательных организаций высшего образования, обладающих высоким экспортным потенциалом, для привлечения иностранных обучающихся.")</f>
        <v>Реализована поддержка образовательных организаций высшего образования, обладающих высоким экспортным потенциалом, для привлечения иностранных обучающихся.</v>
      </c>
      <c r="B181" s="101" t="str">
        <f ca="1">IFERROR(__xludf.DUMMYFUNCTION("""COMPUTED_VALUE"""),"индикатор")</f>
        <v>индикатор</v>
      </c>
    </row>
    <row r="182" spans="1:2" ht="13">
      <c r="A182" s="101" t="str">
        <f ca="1">IFERROR(__xludf.DUMMYFUNCTION("""COMPUTED_VALUE"""),"Проведена актуализация не менее 549 действующих и принято не менее 242 новых нормативно-технических документов в строительной сфере, необходимых для осуществления поэтапного отказа от использования устаревших технологий в проектировании и строительстве, в"&amp;" том числе в жилищном строительстве")</f>
        <v>Проведена актуализация не менее 549 действующих и принято не менее 242 новых нормативно-технических документов в строительной сфере, необходимых для осуществления поэтапного отказа от использования устаревших технологий в проектировании и строительстве, в том числе в жилищном строительстве</v>
      </c>
      <c r="B182" s="101" t="str">
        <f ca="1">IFERROR(__xludf.DUMMYFUNCTION("""COMPUTED_VALUE"""),"индикатор")</f>
        <v>индикатор</v>
      </c>
    </row>
    <row r="183" spans="1:2" ht="13">
      <c r="A183" s="101" t="str">
        <f ca="1">IFERROR(__xludf.DUMMYFUNCTION("""COMPUTED_VALUE"""),"Проведена разработка и актуализация порядка 100 стандартов продукции промышленности строительных материалов в целях повышения качества индустриального жилищного строительства")</f>
        <v>Проведена разработка и актуализация порядка 100 стандартов продукции промышленности строительных материалов в целях повышения качества индустриального жилищного строительства</v>
      </c>
      <c r="B183" s="101" t="str">
        <f ca="1">IFERROR(__xludf.DUMMYFUNCTION("""COMPUTED_VALUE"""),"индикатор")</f>
        <v>индикатор</v>
      </c>
    </row>
    <row r="184" spans="1:2" ht="13">
      <c r="A184" s="101" t="str">
        <f ca="1">IFERROR(__xludf.DUMMYFUNCTION("""COMPUTED_VALUE"""),"Не менее 50% процедур исчерпывающего перечня административных процедур в сфере жилищного строительства осуществляются в электронном виде")</f>
        <v>Не менее 50% процедур исчерпывающего перечня административных процедур в сфере жилищного строительства осуществляются в электронном виде</v>
      </c>
      <c r="B184" s="101" t="str">
        <f ca="1">IFERROR(__xludf.DUMMYFUNCTION("""COMPUTED_VALUE"""),"индикатор")</f>
        <v>индикатор</v>
      </c>
    </row>
    <row r="185" spans="1:2" ht="13">
      <c r="A185" s="101" t="str">
        <f ca="1">IFERROR(__xludf.DUMMYFUNCTION("""COMPUTED_VALUE"""),"Реализованы проекты победителей Всероссийского конкурса лучших проектов создания комфортной городской среды в малых городах и исторических поселениях, не менее ед. нарастающим итогом")</f>
        <v>Реализованы проекты победителей Всероссийского конкурса лучших проектов создания комфортной городской среды в малых городах и исторических поселениях, не менее ед. нарастающим итогом</v>
      </c>
      <c r="B185" s="101" t="str">
        <f ca="1">IFERROR(__xludf.DUMMYFUNCTION("""COMPUTED_VALUE"""),"индикатор")</f>
        <v>индикатор</v>
      </c>
    </row>
    <row r="186" spans="1:2" ht="13">
      <c r="A186" s="101" t="str">
        <f ca="1">IFERROR(__xludf.DUMMYFUNCTION("""COMPUTED_VALUE"""),"Достигнуто значение не менее 130% соотношения расселяемого непригодного для проживания жилищного фонда к признаваемому в соответствующем году, с учетом уточнения критериев признания многоквартирных домов аварийными")</f>
        <v>Достигнуто значение не менее 130% соотношения расселяемого непригодного для проживания жилищного фонда к признаваемому в соответствующем году, с учетом уточнения критериев признания многоквартирных домов аварийными</v>
      </c>
      <c r="B186" s="101" t="str">
        <f ca="1">IFERROR(__xludf.DUMMYFUNCTION("""COMPUTED_VALUE"""),"индикатор")</f>
        <v>индикатор</v>
      </c>
    </row>
    <row r="187" spans="1:2" ht="13">
      <c r="A187" s="101" t="str">
        <f ca="1">IFERROR(__xludf.DUMMYFUNCTION("""COMPUTED_VALUE"""),"Рекультивированы земельные участки, на которых расположена 191 выявленная на 1 января 2018 г. несанкционированная свалка в границах городов, нарастающим итогом, шт")</f>
        <v>Рекультивированы земельные участки, на которых расположена 191 выявленная на 1 января 2018 г. несанкционированная свалка в границах городов, нарастающим итогом, шт</v>
      </c>
      <c r="B187" s="101" t="str">
        <f ca="1">IFERROR(__xludf.DUMMYFUNCTION("""COMPUTED_VALUE"""),"индикатор")</f>
        <v>индикатор</v>
      </c>
    </row>
    <row r="188" spans="1:2" ht="13">
      <c r="A188" s="101" t="str">
        <f ca="1">IFERROR(__xludf.DUMMYFUNCTION("""COMPUTED_VALUE"""),"Ликвидировано 75 наиболее опасных объектов накопленного экологического вреда окружающей среде, нарастающим итогом, шт, Обеспечено содержание ФГКУ ""ДОБ ГТС полигона
""Красный бор"" и безопасное функционирование комплекса гидротехнических сооружений полиго"&amp;"на ""Красный бор"" на период проведения работ, связанных с ликвидацией объекта накопленноговреда окружающей среде")</f>
        <v>Ликвидировано 75 наиболее опасных объектов накопленного экологического вреда окружающей среде, нарастающим итогом, шт, Обеспечено содержание ФГКУ "ДОБ ГТС полигона
"Красный бор" и безопасное функционирование комплекса гидротехнических сооружений полигона "Красный бор" на период проведения работ, связанных с ликвидацией объекта накопленноговреда окружающей среде</v>
      </c>
      <c r="B188" s="101" t="str">
        <f ca="1">IFERROR(__xludf.DUMMYFUNCTION("""COMPUTED_VALUE"""),"индикатор")</f>
        <v>индикатор</v>
      </c>
    </row>
    <row r="189" spans="1:2" ht="13">
      <c r="A189" s="101" t="str">
        <f ca="1">IFERROR(__xludf.DUMMYFUNCTION("""COMPUTED_VALUE"""),"Создана публично-правовая компания, обеспечивающая софинансирование создания инфраструктуры по ТКО, в том числе за счет средств экологического сбора, на возвратной основе.")</f>
        <v>Создана публично-правовая компания, обеспечивающая софинансирование создания инфраструктуры по ТКО, в том числе за счет средств экологического сбора, на возвратной основе.</v>
      </c>
      <c r="B189" s="101" t="str">
        <f ca="1">IFERROR(__xludf.DUMMYFUNCTION("""COMPUTED_VALUE"""),"индикатор")</f>
        <v>индикатор</v>
      </c>
    </row>
    <row r="190" spans="1:2" ht="13">
      <c r="A190" s="101" t="str">
        <f ca="1">IFERROR(__xludf.DUMMYFUNCTION("""COMPUTED_VALUE"""),"Проведена инвентаризация мест размещения ТКО в субъектах Российской Федерации и анализ территориальных схем обращения с отходами на соответствие результатам инвентаризации (во всех 85 субъектах Российской Федерации).")</f>
        <v>Проведена инвентаризация мест размещения ТКО в субъектах Российской Федерации и анализ территориальных схем обращения с отходами на соответствие результатам инвентаризации (во всех 85 субъектах Российской Федерации).</v>
      </c>
      <c r="B190" s="101" t="str">
        <f ca="1">IFERROR(__xludf.DUMMYFUNCTION("""COMPUTED_VALUE"""),"индикатор")</f>
        <v>индикатор</v>
      </c>
    </row>
    <row r="191" spans="1:2" ht="13">
      <c r="A191" s="101" t="str">
        <f ca="1">IFERROR(__xludf.DUMMYFUNCTION("""COMPUTED_VALUE"""),"Модернизирована единая государственная система учета отходов, в части дополнения функционалом по обращению с ТКО (содержащая данные о мощностях и местах расположения ТКО, их специализации (захоронение, сортировка, переработка), маршрутах транспортировки Т"&amp;"КО к полигонам, а также планируемых к строительству объектах по обращению с ТКО)(во всех 85 субъектах Российской Федерации)")</f>
        <v>Модернизирована единая государственная система учета отходов, в части дополнения функционалом по обращению с ТКО (содержащая данные о мощностях и местах расположения ТКО, их специализации (захоронение, сортировка, переработка), маршрутах транспортировки ТКО к полигонам, а также планируемых к строительству объектах по обращению с ТКО)(во всех 85 субъектах Российской Федерации)</v>
      </c>
      <c r="B191" s="101" t="str">
        <f ca="1">IFERROR(__xludf.DUMMYFUNCTION("""COMPUTED_VALUE"""),"индикатор")</f>
        <v>индикатор</v>
      </c>
    </row>
    <row r="192" spans="1:2" ht="13">
      <c r="A192" s="101" t="str">
        <f ca="1">IFERROR(__xludf.DUMMYFUNCTION("""COMPUTED_VALUE"""),"Разработаны электронные модели территориальных схем обращения с отходами, в том числе с твердыми коммунальными отходами (во всех 85 субъектах Российской Федерации).")</f>
        <v>Разработаны электронные модели территориальных схем обращения с отходами, в том числе с твердыми коммунальными отходами (во всех 85 субъектах Российской Федерации).</v>
      </c>
      <c r="B192" s="101" t="str">
        <f ca="1">IFERROR(__xludf.DUMMYFUNCTION("""COMPUTED_VALUE"""),"индикатор")</f>
        <v>индикатор</v>
      </c>
    </row>
    <row r="193" spans="1:2" ht="13">
      <c r="A193" s="101" t="str">
        <f ca="1">IFERROR(__xludf.DUMMYFUNCTION("""COMPUTED_VALUE"""),"Введены в промышленную эксплуатацию мощности по обращению с ТКО, в том числе:
 - по утилизации и переработке ТКО, нарастающим итогом")</f>
        <v>Введены в промышленную эксплуатацию мощности по обращению с ТКО, в том числе:
 - по утилизации и переработке ТКО, нарастающим итогом</v>
      </c>
      <c r="B193" s="101" t="str">
        <f ca="1">IFERROR(__xludf.DUMMYFUNCTION("""COMPUTED_VALUE"""),"индикатор")</f>
        <v>индикатор</v>
      </c>
    </row>
    <row r="194" spans="1:2" ht="13">
      <c r="A194" s="101" t="str">
        <f ca="1">IFERROR(__xludf.DUMMYFUNCTION("""COMPUTED_VALUE"""),"Введены в промышленную эксплуатацию мощности по обращению с ТКО, в том числе:
 - по обработке (сортировке), нарастающим итогом")</f>
        <v>Введены в промышленную эксплуатацию мощности по обращению с ТКО, в том числе:
 - по обработке (сортировке), нарастающим итогом</v>
      </c>
      <c r="B194" s="101" t="str">
        <f ca="1">IFERROR(__xludf.DUMMYFUNCTION("""COMPUTED_VALUE"""),"индикатор")</f>
        <v>индикатор</v>
      </c>
    </row>
    <row r="195" spans="1:2" ht="13">
      <c r="A195" s="101" t="str">
        <f ca="1">IFERROR(__xludf.DUMMYFUNCTION("""COMPUTED_VALUE"""),"Перепрофилированы объекты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f>
        <v>Перепрофилированы объекты по уничтожению химического оружия в межрегиональные производственно-технические комплексы по обработке, утилизации и обезвреживанию отходов I и II классов опасности.</v>
      </c>
      <c r="B195" s="101" t="str">
        <f ca="1">IFERROR(__xludf.DUMMYFUNCTION("""COMPUTED_VALUE"""),"индикатор")</f>
        <v>индикатор</v>
      </c>
    </row>
    <row r="196" spans="1:2" ht="13">
      <c r="A196" s="101" t="str">
        <f ca="1">IFERROR(__xludf.DUMMYFUNCTION("""COMPUTED_VALUE"""),"Реализованы инфраструктурные проекты по созданию объектов обращения с отходами I и II классов опасности в соответствии с федеральной схемой обращения с отходами I и II классов опасности.")</f>
        <v>Реализованы инфраструктурные проекты по созданию объектов обращения с отходами I и II классов опасности в соответствии с федеральной схемой обращения с отходами I и II классов опасности.</v>
      </c>
      <c r="B196" s="101" t="str">
        <f ca="1">IFERROR(__xludf.DUMMYFUNCTION("""COMPUTED_VALUE"""),"индикатор")</f>
        <v>индикатор</v>
      </c>
    </row>
    <row r="197" spans="1:2" ht="13">
      <c r="A197" s="101" t="str">
        <f ca="1">IFERROR(__xludf.DUMMYFUNCTION("""COMPUTED_VALUE"""),"Снижен совокупный объем выбросов загрязняющих веществ в атмосферный воздух за отчетный год.")</f>
        <v>Снижен совокупный объем выбросов загрязняющих веществ в атмосферный воздух за отчетный год.</v>
      </c>
      <c r="B197" s="101" t="str">
        <f ca="1">IFERROR(__xludf.DUMMYFUNCTION("""COMPUTED_VALUE"""),"индикатор")</f>
        <v>индикатор</v>
      </c>
    </row>
    <row r="198" spans="1:2" ht="13">
      <c r="A198" s="101" t="str">
        <f ca="1">IFERROR(__xludf.DUMMYFUNCTION("""COMPUTED_VALUE"""),"В 8 городах (Нижнем Тагиле, Новокузнецке, Чите, Братске, Красноярске, Челябинске, Магнитогорске и Норильске) снижен уровень загрязнения атмосферного воздуха (с высокого и очень высокого уровня).")</f>
        <v>В 8 городах (Нижнем Тагиле, Новокузнецке, Чите, Братске, Красноярске, Челябинске, Магнитогорске и Норильске) снижен уровень загрязнения атмосферного воздуха (с высокого и очень высокого уровня).</v>
      </c>
      <c r="B198" s="101" t="str">
        <f ca="1">IFERROR(__xludf.DUMMYFUNCTION("""COMPUTED_VALUE"""),"индикатор")</f>
        <v>индикатор</v>
      </c>
    </row>
    <row r="199" spans="1:2" ht="13">
      <c r="A199" s="101" t="str">
        <f ca="1">IFERROR(__xludf.DUMMYFUNCTION("""COMPUTED_VALUE"""),"Создан проектный офис национального проекта ""Экология"", обеспечено его функционирование до 2024 г.")</f>
        <v>Создан проектный офис национального проекта "Экология", обеспечено его функционирование до 2024 г.</v>
      </c>
      <c r="B199" s="101" t="str">
        <f ca="1">IFERROR(__xludf.DUMMYFUNCTION("""COMPUTED_VALUE"""),"индикатор")</f>
        <v>индикатор</v>
      </c>
    </row>
    <row r="200" spans="1:2" ht="13">
      <c r="A200" s="101" t="str">
        <f ca="1">IFERROR(__xludf.DUMMYFUNCTION("""COMPUTED_VALUE"""),"Утверждены региональные программы субъектов Российской Федерации по строительству и реконструкции (модернизации) объектов питьевого водоснабжения и водоподготовки, шт.")</f>
        <v>Утверждены региональные программы субъектов Российской Федерации по строительству и реконструкции (модернизации) объектов питьевого водоснабжения и водоподготовки, шт.</v>
      </c>
      <c r="B200" s="101" t="str">
        <f ca="1">IFERROR(__xludf.DUMMYFUNCTION("""COMPUTED_VALUE"""),"индикатор")</f>
        <v>индикатор</v>
      </c>
    </row>
    <row r="201" spans="1:2" ht="13">
      <c r="A201" s="101" t="str">
        <f ca="1">IFERROR(__xludf.DUMMYFUNCTION("""COMPUTED_VALUE"""),"Обеспечено качественной питьевой водой 95,5% городского населения Российской Федерации")</f>
        <v>Обеспечено качественной питьевой водой 95,5% городского населения Российской Федерации</v>
      </c>
      <c r="B201" s="101" t="str">
        <f ca="1">IFERROR(__xludf.DUMMYFUNCTION("""COMPUTED_VALUE"""),"индикатор")</f>
        <v>индикатор</v>
      </c>
    </row>
    <row r="202" spans="1:2" ht="13">
      <c r="A202" s="101" t="str">
        <f ca="1">IFERROR(__xludf.DUMMYFUNCTION("""COMPUTED_VALUE"""),"Завершено строительство и реконструкция (модернизации) объектов питьевого водоснабжения и водоподготовки, предусмотренных региональными программами, нарастающим итогом")</f>
        <v>Завершено строительство и реконструкция (модернизации) объектов питьевого водоснабжения и водоподготовки, предусмотренных региональными программами, нарастающим итогом</v>
      </c>
      <c r="B202" s="101" t="str">
        <f ca="1">IFERROR(__xludf.DUMMYFUNCTION("""COMPUTED_VALUE"""),"индикатор")</f>
        <v>индикатор</v>
      </c>
    </row>
    <row r="203" spans="1:2" ht="13">
      <c r="A203" s="101" t="str">
        <f ca="1">IFERROR(__xludf.DUMMYFUNCTION("""COMPUTED_VALUE"""),"Подъем и утилизация 95 затонувших судов на акватории реки Волги")</f>
        <v>Подъем и утилизация 95 затонувших судов на акватории реки Волги</v>
      </c>
      <c r="B203" s="101" t="str">
        <f ca="1">IFERROR(__xludf.DUMMYFUNCTION("""COMPUTED_VALUE"""),"индикатор")</f>
        <v>индикатор</v>
      </c>
    </row>
    <row r="204" spans="1:2" ht="13">
      <c r="A204" s="101" t="str">
        <f ca="1">IFERROR(__xludf.DUMMYFUNCTION("""COMPUTED_VALUE"""),"Завершена ликвидация (рекультивация) объектов накопленного экологического вреда (ликвидировано (рекультивировано) 20 объектов)")</f>
        <v>Завершена ликвидация (рекультивация) объектов накопленного экологического вреда (ликвидировано (рекультивировано) 20 объектов)</v>
      </c>
      <c r="B204" s="101" t="str">
        <f ca="1">IFERROR(__xludf.DUMMYFUNCTION("""COMPUTED_VALUE"""),"индикатор")</f>
        <v>индикатор</v>
      </c>
    </row>
    <row r="205" spans="1:2" ht="13">
      <c r="A205" s="101" t="str">
        <f ca="1">IFERROR(__xludf.DUMMYFUNCTION("""COMPUTED_VALUE"""),"Выполнена расчистка 175 км мелиоративных каналов и водных трактов водохозяйственного комплекса Нижней Волги")</f>
        <v>Выполнена расчистка 175 км мелиоративных каналов и водных трактов водохозяйственного комплекса Нижней Волги</v>
      </c>
      <c r="B205" s="101" t="str">
        <f ca="1">IFERROR(__xludf.DUMMYFUNCTION("""COMPUTED_VALUE"""),"индикатор")</f>
        <v>индикатор</v>
      </c>
    </row>
    <row r="206" spans="1:2" ht="13">
      <c r="A206" s="101" t="str">
        <f ca="1">IFERROR(__xludf.DUMMYFUNCTION("""COMPUTED_VALUE"""),"Обеспечена расчистка участков водных объектов протяженностью 319 км")</f>
        <v>Обеспечена расчистка участков водных объектов протяженностью 319 км</v>
      </c>
      <c r="B206" s="101" t="str">
        <f ca="1">IFERROR(__xludf.DUMMYFUNCTION("""COMPUTED_VALUE"""),"индикатор")</f>
        <v>индикатор</v>
      </c>
    </row>
    <row r="207" spans="1:2" ht="13">
      <c r="A207" s="101" t="str">
        <f ca="1">IFERROR(__xludf.DUMMYFUNCTION("""COMPUTED_VALUE"""),"Обеспечено сокращение отведения в реку Волгу загрязненных сточных вод на 2,12 куб. км путем завершения работ по строительству, реконструкции (модернизации) очистных сооружений")</f>
        <v>Обеспечено сокращение отведения в реку Волгу загрязненных сточных вод на 2,12 куб. км путем завершения работ по строительству, реконструкции (модернизации) очистных сооружений</v>
      </c>
      <c r="B207" s="101" t="str">
        <f ca="1">IFERROR(__xludf.DUMMYFUNCTION("""COMPUTED_VALUE"""),"индикатор")</f>
        <v>индикатор</v>
      </c>
    </row>
    <row r="208" spans="1:2" ht="13">
      <c r="A208" s="101" t="str">
        <f ca="1">IFERROR(__xludf.DUMMYFUNCTION("""COMPUTED_VALUE"""),"Проведены работы по расчистке и дноуглублению не менее 281 км каналов-рыбоходов, восстановлено не менее 26,9 тыс. га водных объектов Нижней Волги")</f>
        <v>Проведены работы по расчистке и дноуглублению не менее 281 км каналов-рыбоходов, восстановлено не менее 26,9 тыс. га водных объектов Нижней Волги</v>
      </c>
      <c r="B208" s="101" t="str">
        <f ca="1">IFERROR(__xludf.DUMMYFUNCTION("""COMPUTED_VALUE"""),"индикатор")</f>
        <v>индикатор</v>
      </c>
    </row>
    <row r="209" spans="1:2" ht="13">
      <c r="A209" s="101" t="str">
        <f ca="1">IFERROR(__xludf.DUMMYFUNCTION("""COMPUTED_VALUE"""),"Построены и реконструированы 89 водопропускных сооружений для улучшения водообмена в низовьях Волги")</f>
        <v>Построены и реконструированы 89 водопропускных сооружений для улучшения водообмена в низовьях Волги</v>
      </c>
      <c r="B209" s="101" t="str">
        <f ca="1">IFERROR(__xludf.DUMMYFUNCTION("""COMPUTED_VALUE"""),"индикатор")</f>
        <v>индикатор</v>
      </c>
    </row>
    <row r="210" spans="1:2" ht="13">
      <c r="A210" s="101" t="str">
        <f ca="1">IFERROR(__xludf.DUMMYFUNCTION("""COMPUTED_VALUE"""),"Построен комплекс гидротехнических сооружений для дополнительного обводнения реки Ахтубы")</f>
        <v>Построен комплекс гидротехнических сооружений для дополнительного обводнения реки Ахтубы</v>
      </c>
      <c r="B210" s="101" t="str">
        <f ca="1">IFERROR(__xludf.DUMMYFUNCTION("""COMPUTED_VALUE"""),"индикатор")</f>
        <v>индикатор</v>
      </c>
    </row>
    <row r="211" spans="1:2" ht="13">
      <c r="A211" s="101" t="str">
        <f ca="1">IFERROR(__xludf.DUMMYFUNCTION("""COMPUTED_VALUE"""),"Обеспечена экологическая реабилитация 1,5 тыс. га водных объектов Нижней Волги")</f>
        <v>Обеспечена экологическая реабилитация 1,5 тыс. га водных объектов Нижней Волги</v>
      </c>
      <c r="B211" s="101" t="str">
        <f ca="1">IFERROR(__xludf.DUMMYFUNCTION("""COMPUTED_VALUE"""),"индикатор")</f>
        <v>индикатор</v>
      </c>
    </row>
    <row r="212" spans="1:2" ht="13">
      <c r="A212" s="101" t="str">
        <f ca="1">IFERROR(__xludf.DUMMYFUNCTION("""COMPUTED_VALUE"""),"Выполнена реконструкция 6 гидротехнических сооружений государственной мелиоративной сети")</f>
        <v>Выполнена реконструкция 6 гидротехнических сооружений государственной мелиоративной сети</v>
      </c>
      <c r="B212" s="101" t="str">
        <f ca="1">IFERROR(__xludf.DUMMYFUNCTION("""COMPUTED_VALUE"""),"индикатор")</f>
        <v>индикатор</v>
      </c>
    </row>
    <row r="213" spans="1:2" ht="13">
      <c r="A213" s="101" t="str">
        <f ca="1">IFERROR(__xludf.DUMMYFUNCTION("""COMPUTED_VALUE"""),"Сохранены и воспроизведены уникальные водные биологические ресурсы озера Байкал. Выпущены личинки омуля, молодь омуля и молодь осетра.")</f>
        <v>Сохранены и воспроизведены уникальные водные биологические ресурсы озера Байкал. Выпущены личинки омуля, молодь омуля и молодь осетра.</v>
      </c>
      <c r="B213" s="101" t="str">
        <f ca="1">IFERROR(__xludf.DUMMYFUNCTION("""COMPUTED_VALUE"""),"индикатор")</f>
        <v>индикатор</v>
      </c>
    </row>
    <row r="214" spans="1:2" ht="13">
      <c r="A214" s="101" t="str">
        <f ca="1">IFERROR(__xludf.DUMMYFUNCTION("""COMPUTED_VALUE"""),"Обеспечена очистка загрязненных сточных вод, поступающих в озеро Байкал и другие водные объекты Байкальской природной территории, путем модернизации и строительства очистных сооружений общей мощностью не менее 185 тыс. куб. метров в сутки, нарастающим ито"&amp;"гом")</f>
        <v>Обеспечена очистка загрязненных сточных вод, поступающих в озеро Байкал и другие водные объекты Байкальской природной территории, путем модернизации и строительства очистных сооружений общей мощностью не менее 185 тыс. куб. метров в сутки, нарастающим итогом</v>
      </c>
      <c r="B214" s="101" t="str">
        <f ca="1">IFERROR(__xludf.DUMMYFUNCTION("""COMPUTED_VALUE"""),"индикатор")</f>
        <v>индикатор</v>
      </c>
    </row>
    <row r="215" spans="1:2" ht="13">
      <c r="A215" s="101" t="str">
        <f ca="1">IFERROR(__xludf.DUMMYFUNCTION("""COMPUTED_VALUE"""),"Снижена на 448,9 га общая площадь территорий, подвергшихся высокому и экстремально высокому загрязнению и оказывающих воздействие на озеро Байкал.")</f>
        <v>Снижена на 448,9 га общая площадь территорий, подвергшихся высокому и экстремально высокому загрязнению и оказывающих воздействие на озеро Байкал.</v>
      </c>
      <c r="B215" s="101" t="str">
        <f ca="1">IFERROR(__xludf.DUMMYFUNCTION("""COMPUTED_VALUE"""),"индикатор")</f>
        <v>индикатор</v>
      </c>
    </row>
    <row r="216" spans="1:2" ht="13">
      <c r="A216" s="101" t="str">
        <f ca="1">IFERROR(__xludf.DUMMYFUNCTION("""COMPUTED_VALUE"""),"Обеспечена очистка загрязненных сточных вод, поступающих в озеро Байкал и другие водные объекты Байкальской природной территории, путем модернизации и строительства очистных сооружений общей мощностью не менее 350 тыс. куб. метров в сутки, нарастающим ито"&amp;"гом")</f>
        <v>Обеспечена очистка загрязненных сточных вод, поступающих в озеро Байкал и другие водные объекты Байкальской природной территории, путем модернизации и строительства очистных сооружений общей мощностью не менее 350 тыс. куб. метров в сутки, нарастающим итогом</v>
      </c>
      <c r="B216" s="101" t="str">
        <f ca="1">IFERROR(__xludf.DUMMYFUNCTION("""COMPUTED_VALUE"""),"индикатор")</f>
        <v>индикатор</v>
      </c>
    </row>
    <row r="217" spans="1:2" ht="13">
      <c r="A217" s="101" t="str">
        <f ca="1">IFERROR(__xludf.DUMMYFUNCTION("""COMPUTED_VALUE"""),"Построены сооружения инженерной защиты общей протяженностью не менее 18 км.")</f>
        <v>Построены сооружения инженерной защиты общей протяженностью не менее 18 км.</v>
      </c>
      <c r="B217" s="101" t="str">
        <f ca="1">IFERROR(__xludf.DUMMYFUNCTION("""COMPUTED_VALUE"""),"индикатор")</f>
        <v>индикатор</v>
      </c>
    </row>
    <row r="218" spans="1:2" ht="13">
      <c r="A218" s="101" t="str">
        <f ca="1">IFERROR(__xludf.DUMMYFUNCTION("""COMPUTED_VALUE"""),"Реализован комплекс мероприятий по созданию объектов инфраструктуры, направленных на снижение негативного воздействия на Телецкое озеро")</f>
        <v>Реализован комплекс мероприятий по созданию объектов инфраструктуры, направленных на снижение негативного воздействия на Телецкое озеро</v>
      </c>
      <c r="B218" s="101" t="str">
        <f ca="1">IFERROR(__xludf.DUMMYFUNCTION("""COMPUTED_VALUE"""),"индикатор")</f>
        <v>индикатор</v>
      </c>
    </row>
    <row r="219" spans="1:2" ht="13">
      <c r="A219" s="101" t="str">
        <f ca="1">IFERROR(__xludf.DUMMYFUNCTION("""COMPUTED_VALUE"""),"Осуществлена экологическая реабилитация водных объектов площадью не менее 4320,3 га")</f>
        <v>Осуществлена экологическая реабилитация водных объектов площадью не менее 4320,3 га</v>
      </c>
      <c r="B219" s="101" t="str">
        <f ca="1">IFERROR(__xludf.DUMMYFUNCTION("""COMPUTED_VALUE"""),"индикатор")</f>
        <v>индикатор</v>
      </c>
    </row>
    <row r="220" spans="1:2" ht="13">
      <c r="A220" s="101" t="str">
        <f ca="1">IFERROR(__xludf.DUMMYFUNCTION("""COMPUTED_VALUE"""),"Проведены природоохранные мероприятия по расчистке участков рек (водохранилищ) и озер на площади не менее 19179 га")</f>
        <v>Проведены природоохранные мероприятия по расчистке участков рек (водохранилищ) и озер на площади не менее 19179 га</v>
      </c>
      <c r="B220" s="101" t="str">
        <f ca="1">IFERROR(__xludf.DUMMYFUNCTION("""COMPUTED_VALUE"""),"индикатор")</f>
        <v>индикатор</v>
      </c>
    </row>
    <row r="221" spans="1:2" ht="13">
      <c r="A221" s="101" t="str">
        <f ca="1">IFERROR(__xludf.DUMMYFUNCTION("""COMPUTED_VALUE"""),"Проведены мероприятия по расчистке участков русел рек протяжённостью не менее 307 км и озер площадью не менее 730 га")</f>
        <v>Проведены мероприятия по расчистке участков русел рек протяжённостью не менее 307 км и озер площадью не менее 730 га</v>
      </c>
      <c r="B221" s="101" t="str">
        <f ca="1">IFERROR(__xludf.DUMMYFUNCTION("""COMPUTED_VALUE"""),"индикатор")</f>
        <v>индикатор</v>
      </c>
    </row>
    <row r="222" spans="1:2" ht="13">
      <c r="A222" s="101" t="str">
        <f ca="1">IFERROR(__xludf.DUMMYFUNCTION("""COMPUTED_VALUE"""),"С привлечением волонтерского движения проведены мероприятия по очистке от бытового мусора и древесного хлама не менее 9000 км берегов водных объектовНужно сконцентрировать усилия на первичном звене здравоохранения")</f>
        <v>С привлечением волонтерского движения проведены мероприятия по очистке от бытового мусора и древесного хлама не менее 9000 км берегов водных объектовНужно сконцентрировать усилия на первичном звене здравоохранения</v>
      </c>
      <c r="B222" s="101" t="str">
        <f ca="1">IFERROR(__xludf.DUMMYFUNCTION("""COMPUTED_VALUE"""),"индикатор")</f>
        <v>индикатор</v>
      </c>
    </row>
    <row r="223" spans="1:2" ht="13">
      <c r="A223" s="101" t="str">
        <f ca="1">IFERROR(__xludf.DUMMYFUNCTION("""COMPUTED_VALUE"""),"Количество населения, улучшившего экологические условия проживания вблизи водных объектов")</f>
        <v>Количество населения, улучшившего экологические условия проживания вблизи водных объектов</v>
      </c>
      <c r="B223" s="101" t="str">
        <f ca="1">IFERROR(__xludf.DUMMYFUNCTION("""COMPUTED_VALUE"""),"индикатор")</f>
        <v>индикатор</v>
      </c>
    </row>
    <row r="224" spans="1:2" ht="13">
      <c r="A224" s="101" t="str">
        <f ca="1">IFERROR(__xludf.DUMMYFUNCTION("""COMPUTED_VALUE"""),"Количество населения, вовлеченного в мероприятия по очистке берегов водных объектов.")</f>
        <v>Количество населения, вовлеченного в мероприятия по очистке берегов водных объектов.</v>
      </c>
      <c r="B224" s="101" t="str">
        <f ca="1">IFERROR(__xludf.DUMMYFUNCTION("""COMPUTED_VALUE"""),"индикатор")</f>
        <v>индикатор</v>
      </c>
    </row>
    <row r="225" spans="1:2" ht="13">
      <c r="A225" s="101" t="str">
        <f ca="1">IFERROR(__xludf.DUMMYFUNCTION("""COMPUTED_VALUE"""),"Увеличена площадь лесовосстановления, повышено качество и эффективность работ по лесовосстановлению на арендованных лесных участках.")</f>
        <v>Увеличена площадь лесовосстановления, повышено качество и эффективность работ по лесовосстановлению на арендованных лесных участках.</v>
      </c>
      <c r="B225" s="101" t="str">
        <f ca="1">IFERROR(__xludf.DUMMYFUNCTION("""COMPUTED_VALUE"""),"индикатор")</f>
        <v>индикатор</v>
      </c>
    </row>
    <row r="226" spans="1:2" ht="13">
      <c r="A226" s="101" t="str">
        <f ca="1">IFERROR(__xludf.DUMMYFUNCTION("""COMPUTED_VALUE"""),"Увеличена площадь лесовосстановления, повышено качество и эффективность работ по лесовосстановлению на лесных участках непереданных в аренду.")</f>
        <v>Увеличена площадь лесовосстановления, повышено качество и эффективность работ по лесовосстановлению на лесных участках непереданных в аренду.</v>
      </c>
      <c r="B226" s="101" t="str">
        <f ca="1">IFERROR(__xludf.DUMMYFUNCTION("""COMPUTED_VALUE"""),"индикатор")</f>
        <v>индикатор</v>
      </c>
    </row>
    <row r="227" spans="1:2" ht="13">
      <c r="A227" s="101" t="str">
        <f ca="1">IFERROR(__xludf.DUMMYFUNCTION("""COMPUTED_VALUE"""),"Увеличена площадь искусственного лесовосстановления за счет внебюджетных средств учреждений субъектов Российской Федерации")</f>
        <v>Увеличена площадь искусственного лесовосстановления за счет внебюджетных средств учреждений субъектов Российской Федерации</v>
      </c>
      <c r="B227" s="101" t="str">
        <f ca="1">IFERROR(__xludf.DUMMYFUNCTION("""COMPUTED_VALUE"""),"индикатор")</f>
        <v>индикатор</v>
      </c>
    </row>
    <row r="228" spans="1:2" ht="13">
      <c r="A228" s="101" t="str">
        <f ca="1">IFERROR(__xludf.DUMMYFUNCTION("""COMPUTED_VALUE"""),"Сформирован запас лесных семян для лесовосстановления на всех участках вырубленных и погибших лесных насаждений.")</f>
        <v>Сформирован запас лесных семян для лесовосстановления на всех участках вырубленных и погибших лесных насаждений.</v>
      </c>
      <c r="B228" s="101" t="str">
        <f ca="1">IFERROR(__xludf.DUMMYFUNCTION("""COMPUTED_VALUE"""),"индикатор")</f>
        <v>индикатор</v>
      </c>
    </row>
    <row r="229" spans="1:2" ht="13">
      <c r="A229" s="101" t="str">
        <f ca="1">IFERROR(__xludf.DUMMYFUNCTION("""COMPUTED_VALUE"""),"Актуализированы информационно - технические справочники по наилучшим доступным технологиям; разработаны новые и актуализированы действующие национальные стандарты наилучших доступных технологий")</f>
        <v>Актуализированы информационно - технические справочники по наилучшим доступным технологиям; разработаны новые и актуализированы действующие национальные стандарты наилучших доступных технологий</v>
      </c>
      <c r="B229" s="101" t="str">
        <f ca="1">IFERROR(__xludf.DUMMYFUNCTION("""COMPUTED_VALUE"""),"индикатор")</f>
        <v>индикатор</v>
      </c>
    </row>
    <row r="230" spans="1:2" ht="13">
      <c r="A230" s="101" t="str">
        <f ca="1">IFERROR(__xludf.DUMMYFUNCTION("""COMPUTED_VALUE"""),"Выданы комплексные экологические разрешения всем объектам, оказывающим значительное негативное воздействие на окружающую среду и относящимся к областям применения наилучших доступных технологий (далее - НДТ), нарастающим итогом")</f>
        <v>Выданы комплексные экологические разрешения всем объектам, оказывающим значительное негативное воздействие на окружающую среду и относящимся к областям применения наилучших доступных технологий (далее - НДТ), нарастающим итогом</v>
      </c>
      <c r="B230" s="101" t="str">
        <f ca="1">IFERROR(__xludf.DUMMYFUNCTION("""COMPUTED_VALUE"""),"индикатор")</f>
        <v>индикатор</v>
      </c>
    </row>
    <row r="231" spans="1:2" ht="13">
      <c r="A231" s="101" t="str">
        <f ca="1">IFERROR(__xludf.DUMMYFUNCTION("""COMPUTED_VALUE"""),"Реализован механизм предоставления субсидий из федерального бюджета российским организациям на возмещение части затрат на выплату купонного дохода по облигациям, выпущенным в рамках реализации инвестиционных проектов по внедрению наилучших достбаупных тех"&amp;"нологий на объектах, оказывающих значительное негативное воздействие на окружающую среду и относящихся к областям применения наилучших доступных технологий")</f>
        <v>Реализован механизм предоставления субсидий из федерального бюджета российским организациям на возмещение части затрат на выплату купонного дохода по облигациям, выпущенным в рамках реализации инвестиционных проектов по внедрению наилучших достбаупных технологий на объектах, оказывающих значительное негативное воздействие на окружающую среду и относящихся к областям применения наилучших доступных технологий</v>
      </c>
      <c r="B231" s="101" t="str">
        <f ca="1">IFERROR(__xludf.DUMMYFUNCTION("""COMPUTED_VALUE"""),"индикатор")</f>
        <v>индикатор</v>
      </c>
    </row>
    <row r="232" spans="1:2" ht="13">
      <c r="A232" s="101" t="str">
        <f ca="1">IFERROR(__xludf.DUMMYFUNCTION("""COMPUTED_VALUE"""),"Создание прикладного программного обеспечение и централизованная ИТ-инфраструктура по внедрению подсистемы, обеспечивающей налогообложение доходов самозанятых граждан")</f>
        <v>Создание прикладного программного обеспечение и централизованная ИТ-инфраструктура по внедрению подсистемы, обеспечивающей налогообложение доходов самозанятых граждан</v>
      </c>
      <c r="B232" s="101" t="str">
        <f ca="1">IFERROR(__xludf.DUMMYFUNCTION("""COMPUTED_VALUE"""),"индикатор")</f>
        <v>индикатор</v>
      </c>
    </row>
    <row r="233" spans="1:2" ht="13">
      <c r="A233" s="101" t="str">
        <f ca="1">IFERROR(__xludf.DUMMYFUNCTION("""COMPUTED_VALUE"""),"Количество самозанятых граждан, зафиксировавших свой статус с учетом введения специального налогового режима для самозанятых, достигло 2 400,0 тыс. человек в 2019 г. - 2024 г. гг.")</f>
        <v>Количество самозанятых граждан, зафиксировавших свой статус с учетом введения специального налогового режима для самозанятых, достигло 2 400,0 тыс. человек в 2019 г. - 2024 г. гг.</v>
      </c>
      <c r="B233" s="101" t="str">
        <f ca="1">IFERROR(__xludf.DUMMYFUNCTION("""COMPUTED_VALUE"""),"индикатор")</f>
        <v>индикатор</v>
      </c>
    </row>
    <row r="234" spans="1:2" ht="13">
      <c r="A234" s="101" t="str">
        <f ca="1">IFERROR(__xludf.DUMMYFUNCTION("""COMPUTED_VALUE"""),"Предоставлена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f>
        <v>Предоставлена субсидия АО "Корпорация "МСП" на финансовое обеспечение исполнения обязательств АО "Корпорация "МСП" по гарантиям, предоставленным субъектам МСП в период с 2019 г. по 2024 гг., в размере 14,318 млрд. рублей в том числе:</v>
      </c>
      <c r="B234" s="101" t="str">
        <f ca="1">IFERROR(__xludf.DUMMYFUNCTION("""COMPUTED_VALUE"""),"индикатор")</f>
        <v>индикатор</v>
      </c>
    </row>
    <row r="235" spans="1:2" ht="13">
      <c r="A235" s="101" t="str">
        <f ca="1">IFERROR(__xludf.DUMMYFUNCTION("""COMPUTED_VALUE"""),"Обеспечен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f>
        <v>Обеспечен объем финансовой поддержки, оказанной субъектам малого и среднего предпринимательства, при гарантийной поддержке региональными гарантийными организациями</v>
      </c>
      <c r="B235" s="101" t="str">
        <f ca="1">IFERROR(__xludf.DUMMYFUNCTION("""COMPUTED_VALUE"""),"индикатор")</f>
        <v>индикатор</v>
      </c>
    </row>
    <row r="236" spans="1:2" ht="13">
      <c r="A236" s="101" t="str">
        <f ca="1">IFERROR(__xludf.DUMMYFUNCTION("""COMPUTED_VALUE"""),"Увеличен объем финансовой поддержки, оказанной субъектам МСП, млрд. руб.")</f>
        <v>Увеличен объем финансовой поддержки, оказанной субъектам МСП, млрд. руб.</v>
      </c>
      <c r="B236" s="101" t="str">
        <f ca="1">IFERROR(__xludf.DUMMYFUNCTION("""COMPUTED_VALUE"""),"индикатор")</f>
        <v>индикатор</v>
      </c>
    </row>
    <row r="237" spans="1:2" ht="13">
      <c r="A237" s="101" t="str">
        <f ca="1">IFERROR(__xludf.DUMMYFUNCTION("""COMPUTED_VALUE"""),"Обеспечен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М"&amp;"СП Дальневосточного федерального округа на реализацию проектов в приоритетных отраслях по льготной ставке, в размере 420,8 млрд. рублей в 2019 - 2024 годах, в том числе:")</f>
        <v>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Дальневосточного федерального округа на реализацию проектов в приоритетных отраслях по льготной ставке, в размере 420,8 млрд. рублей в 2019 - 2024 годах, в том числе:</v>
      </c>
      <c r="B237" s="101" t="str">
        <f ca="1">IFERROR(__xludf.DUMMYFUNCTION("""COMPUTED_VALUE"""),"индикатор")</f>
        <v>индикатор</v>
      </c>
    </row>
    <row r="238" spans="1:2" ht="13">
      <c r="A238" s="101" t="str">
        <f ca="1">IFERROR(__xludf.DUMMYFUNCTION("""COMPUTED_VALUE"""),"Обеспечен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М"&amp;"СП Северо-Кавказского федерального округа на реализацию проектов в приоритетных отраслях по льготной ставке, в размере 56,4 млрд. рублей в 2019 г.-2024 годах., в том числе:")</f>
        <v>Обеспечен консолидированный объем финансовой поддержки, оказанной субъектам МСП в рамках НГС, и кредитов, выданных в рамках программы предоставления субсидий кредитным организациям на возмещение недополученных ими доходов по кредитам, выданным субъектам МСП Северо-Кавказского федерального округа на реализацию проектов в приоритетных отраслях по льготной ставке, в размере 56,4 млрд. рублей в 2019 г.-2024 годах., в том числе:</v>
      </c>
      <c r="B238" s="101" t="str">
        <f ca="1">IFERROR(__xludf.DUMMYFUNCTION("""COMPUTED_VALUE"""),"индикатор")</f>
        <v>индикатор</v>
      </c>
    </row>
    <row r="239" spans="1:2" ht="13">
      <c r="A239" s="101" t="str">
        <f ca="1">IFERROR(__xludf.DUMMYFUNCTION("""COMPUTED_VALUE"""),"Обеспечен объем льготной лизинговой поддержки (сумма лизингового финансирования) субъектов МСП, оказанной региональными лизинговыми компаниями, созданными с участием АО ""Корпорация ""МСП"", в 2019-2024 гг. (нарастающим итогом с 2017 г.), в том числе:
 - "&amp;"в 2019 году 6,41 млрд. рублей;
 - в 2020 году 9,95 млрд. рублей;
 - в 2021 году 14,47 млрд. рублей;
 - в 2022 году 18,91 млрд. рублей;
 - в 2023 году 24,17 млрд. рублей;
 - в 2024 году 29,79 млрд. рублей")</f>
        <v>Обеспечен объем льготной лизинговой поддержки (сумма лизингового финансирования) субъектов МСП, оказанной региональными лизинговыми компаниями, созданными с участием АО "Корпорация "МСП", в 2019-2024 гг. (нарастающим итогом с 2017 г.), в том числе:
 - в 2019 году 6,41 млрд. рублей;
 - в 2020 году 9,95 млрд. рублей;
 - в 2021 году 14,47 млрд. рублей;
 - в 2022 году 18,91 млрд. рублей;
 - в 2023 году 24,17 млрд. рублей;
 - в 2024 году 29,79 млрд. рублей</v>
      </c>
      <c r="B239" s="101" t="str">
        <f ca="1">IFERROR(__xludf.DUMMYFUNCTION("""COMPUTED_VALUE"""),"индикатор")</f>
        <v>индикатор</v>
      </c>
    </row>
    <row r="240" spans="1:2" ht="13">
      <c r="A240" s="101" t="str">
        <f ca="1">IFERROR(__xludf.DUMMYFUNCTION("""COMPUTED_VALUE"""),"Объем кредитования субъектов МСП под залог прав на объекты интеллектуальной собственности, млрд. рублей")</f>
        <v>Объем кредитования субъектов МСП под залог прав на объекты интеллектуальной собственности, млрд. рублей</v>
      </c>
      <c r="B240" s="101" t="str">
        <f ca="1">IFERROR(__xludf.DUMMYFUNCTION("""COMPUTED_VALUE"""),"индикатор")</f>
        <v>индикатор</v>
      </c>
    </row>
    <row r="241" spans="1:2" ht="13">
      <c r="A241" s="101" t="str">
        <f ca="1">IFERROR(__xludf.DUMMYFUNCTION("""COMPUTED_VALUE"""),"Объем лизинговых сделок субъектов МСП с государственной поддержкой, млрд. рублей")</f>
        <v>Объем лизинговых сделок субъектов МСП с государственной поддержкой, млрд. рублей</v>
      </c>
      <c r="B241" s="101" t="str">
        <f ca="1">IFERROR(__xludf.DUMMYFUNCTION("""COMPUTED_VALUE"""),"индикатор")</f>
        <v>индикатор</v>
      </c>
    </row>
    <row r="242" spans="1:2" ht="13">
      <c r="A242" s="101" t="str">
        <f ca="1">IFERROR(__xludf.DUMMYFUNCTION("""COMPUTED_VALUE"""),"Предоставлены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суб"&amp;"сидирование ставки вознаграждения по микрозаймам субъектов МСП, в размере 21,433 млрд. рублей, в том числе:")</f>
        <v>Предоставлены субсидии из федерального бюджета органам государственной власти субъектов Российской Федерации на исполнение расходных обязательств, предусматривающих создание и (или) развитие государственных МФО, а также субсидии государственным МФО на субсидирование ставки вознаграждения по микрозаймам субъектов МСП, в размере 21,433 млрд. рублей, в том числе:</v>
      </c>
      <c r="B242" s="101" t="str">
        <f ca="1">IFERROR(__xludf.DUMMYFUNCTION("""COMPUTED_VALUE"""),"индикатор")</f>
        <v>индикатор</v>
      </c>
    </row>
    <row r="243" spans="1:2" ht="13">
      <c r="A243" s="101" t="str">
        <f ca="1">IFERROR(__xludf.DUMMYFUNCTION("""COMPUTED_VALUE"""),"Государственными микрофинансовыми организациями обеспечен доступ субъектов МСП к заемным средствам и увеличен объем выдаваемых микрозаймов до 20 млрд. рублей ежегодно в количестве не менее 20700 единиц")</f>
        <v>Государственными микрофинансовыми организациями обеспечен доступ субъектов МСП к заемным средствам и увеличен объем выдаваемых микрозаймов до 20 млрд. рублей ежегодно в количестве не менее 20700 единиц</v>
      </c>
      <c r="B243" s="101" t="str">
        <f ca="1">IFERROR(__xludf.DUMMYFUNCTION("""COMPUTED_VALUE"""),"индикатор")</f>
        <v>индикатор</v>
      </c>
    </row>
    <row r="244" spans="1:2" ht="13">
      <c r="A244" s="101" t="str">
        <f ca="1">IFERROR(__xludf.DUMMYFUNCTION("""COMPUTED_VALUE"""),"Количество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4 и улучшивших показатели выручки и (или) численности занятых, достигло 2 160 тыс. е"&amp;"д. в 2019 - 2024 гг. (нарастающим итогом)")</f>
        <v>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 4 и улучшивших показатели выручки и (или) численности занятых, достигло 2 160 тыс. ед. в 2019 - 2024 гг. (нарастающим итогом)</v>
      </c>
      <c r="B244" s="101" t="str">
        <f ca="1">IFERROR(__xludf.DUMMYFUNCTION("""COMPUTED_VALUE"""),"индикатор")</f>
        <v>индикатор</v>
      </c>
    </row>
    <row r="245" spans="1:2" ht="13">
      <c r="A245" s="101" t="str">
        <f ca="1">IFERROR(__xludf.DUMMYFUNCTION("""COMPUTED_VALUE"""),"Количество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 (или) численности занятых, достигло 2 160 тыс. ед"&amp;". в 2019 - 2024 гг. (нарастающим итогом)")</f>
        <v>Количество вновь созданных и действующих субъектов МСП и самозанятых граждан, совершивших значимые действия во всех информационных системах в рамках национального проекта4 и улучшивших показатели выручки и (или) численности занятых, достигло 2 160 тыс. ед. в 2019 - 2024 гг. (нарастающим итогом)</v>
      </c>
      <c r="B245" s="101" t="str">
        <f ca="1">IFERROR(__xludf.DUMMYFUNCTION("""COMPUTED_VALUE"""),"индикатор")</f>
        <v>индикатор</v>
      </c>
    </row>
    <row r="246" spans="1:2" ht="13">
      <c r="A246" s="101" t="str">
        <f ca="1">IFERROR(__xludf.DUMMYFUNCTION("""COMPUTED_VALUE"""),"Увеличена до 18% доля закупок крупнейших заказчиков, участниками которых являются только субъекты МСП")</f>
        <v>Увеличена до 18% доля закупок крупнейших заказчиков, участниками которых являются только субъекты МСП</v>
      </c>
      <c r="B246" s="101" t="str">
        <f ca="1">IFERROR(__xludf.DUMMYFUNCTION("""COMPUTED_VALUE"""),"индикатор")</f>
        <v>индикатор</v>
      </c>
    </row>
    <row r="247" spans="1:2" ht="13">
      <c r="A247" s="101" t="str">
        <f ca="1">IFERROR(__xludf.DUMMYFUNCTION("""COMPUTED_VALUE"""),"Обеспечено распространение на поставщиков механизмов факторинга в закупках у субъектов МСП крупнейших заказчиков посредством определения в положениях о закупках сведений о возможности применения факторинга у не менее чем 100 крупнейших заказчиков, с учето"&amp;"м особенностей регионов, в которых отсутствуют крупнейшие заказчики регионального уровня, определяемые Правительством Российской Федерации")</f>
        <v>Обеспечено распространение на поставщиков механизмов факторинга в закупках у субъектов МСП крупнейших заказчиков посредством определения в положениях о закупках сведений о возможности применения факторинга у не менее чем 100 крупнейших заказчиков, с учетом особенностей регионов, в которых отсутствуют крупнейшие заказчики регионального уровня, определяемые Правительством Российской Федерации</v>
      </c>
      <c r="B247" s="101" t="str">
        <f ca="1">IFERROR(__xludf.DUMMYFUNCTION("""COMPUTED_VALUE"""),"индикатор")</f>
        <v>индикатор</v>
      </c>
    </row>
    <row r="248" spans="1:2" ht="13">
      <c r="A248" s="101" t="str">
        <f ca="1">IFERROR(__xludf.DUMMYFUNCTION("""COMPUTED_VALUE"""),"Обеспечен объем закупок крупнейших заказчиков у субъектов МСП, зарегистрированных на территории Дальневосточного федерального округа, в том числе:
 в 2019 году в размере не менее 137,7 млрд рублей;
 в 2020 году в размере не менее 172,1 млрд рублей;
 в 202"&amp;"1 году в размере не менее 215,1 млрд рублей;
 в 2022 году в размере не менее 268,9 млрд рублей;
 в 2023 году в размере не менее 336,1 млрд рублей;
 в 2024 году в размере не менее 420,1 млрд рублей")</f>
        <v>Обеспечен объем закупок крупнейших заказчиков у субъектов МСП, зарегистрированных на территории Дальневосточного федерального округа, в том числе:
 в 2019 году в размере не менее 137,7 млрд рублей;
 в 2020 году в размере не менее 172,1 млрд рублей;
 в 2021 году в размере не менее 215,1 млрд рублей;
 в 2022 году в размере не менее 268,9 млрд рублей;
 в 2023 году в размере не менее 336,1 млрд рублей;
 в 2024 году в размере не менее 420,1 млрд рублей</v>
      </c>
      <c r="B248" s="101" t="str">
        <f ca="1">IFERROR(__xludf.DUMMYFUNCTION("""COMPUTED_VALUE"""),"индикатор")</f>
        <v>индикатор</v>
      </c>
    </row>
    <row r="249" spans="1:2" ht="13">
      <c r="A249" s="101" t="str">
        <f ca="1">IFERROR(__xludf.DUMMYFUNCTION("""COMPUTED_VALUE"""),"Обеспечен объем закупок крупнейших заказчиков у субъектов МСП, зарегистрированных на территории Северо-Кавказского федерального округа, в том числе: 
 в 2019 году в размере не менее 35,44 млрд рублей;
 в 2020 году в размере не менее 44,30 млрд рублей;
 в "&amp;"2021 году в размере не менее 55,37 млрд рублей;
 в 2022 году в размере не менее 69,22 млрд рублей;
 в 2023 году в размере не менее 86,52 млрд рублей;
 в 2024 году в размере не менее 110,00 млрд рублей")</f>
        <v>Обеспечен объем закупок крупнейших заказчиков у субъектов МСП, зарегистрированных на территории Северо-Кавказского федерального округа, в том числе: 
 в 2019 году в размере не менее 35,44 млрд рублей;
 в 2020 году в размере не менее 44,30 млрд рублей;
 в 2021 году в размере не менее 55,37 млрд рублей;
 в 2022 году в размере не менее 69,22 млрд рублей;
 в 2023 году в размере не менее 86,52 млрд рублей;
 в 2024 году в размере не менее 110,00 млрд рублей</v>
      </c>
      <c r="B249" s="101" t="str">
        <f ca="1">IFERROR(__xludf.DUMMYFUNCTION("""COMPUTED_VALUE"""),"индикатор")</f>
        <v>индикатор</v>
      </c>
    </row>
    <row r="250" spans="1:2" ht="13">
      <c r="A250" s="101" t="str">
        <f ca="1">IFERROR(__xludf.DUMMYFUNCTION("""COMPUTED_VALUE"""),"Обеспечена реализация ежегодно не менее 5 компаниями с иностранным участием, локализующими или планирующими локализовать производство на территории Российской Федерации, мероприятий по встраиванию российских субъектов МСП в цепочки поставок в целях повыше"&amp;"ния уровня локализации производства на территории Российской Федерации, в том числе посредством налаживания делового сотрудничества между российскими субъектами МСП и такими компаниями")</f>
        <v>Обеспечена реализация ежегодно не менее 5 компаниями с иностранным участием, локализующими или планирующими локализовать производство на территории Российской Федерации, мероприятий по встраиванию российских субъектов МСП в цепочки поставок в целях повышения уровня локализации производства на территории Российской Федерации, в том числе посредством налаживания делового сотрудничества между российскими субъектами МСП и такими компаниями</v>
      </c>
      <c r="B250" s="101" t="str">
        <f ca="1">IFERROR(__xludf.DUMMYFUNCTION("""COMPUTED_VALUE"""),"индикатор")</f>
        <v>индикатор</v>
      </c>
    </row>
    <row r="251" spans="1:2" ht="13">
      <c r="A251" s="101" t="str">
        <f ca="1">IFERROR(__xludf.DUMMYFUNCTION("""COMPUTED_VALUE"""),"Количество субъектов МСП, включенных в реестр производственных субъектов МСП - потенциальных поставщиков крупнейших заказчиков, тыс. ед. нарастающим итогом")</f>
        <v>Количество субъектов МСП, включенных в реестр производственных субъектов МСП - потенциальных поставщиков крупнейших заказчиков, тыс. ед. нарастающим итогом</v>
      </c>
      <c r="B251" s="101" t="str">
        <f ca="1">IFERROR(__xludf.DUMMYFUNCTION("""COMPUTED_VALUE"""),"индикатор")</f>
        <v>индикатор</v>
      </c>
    </row>
    <row r="252" spans="1:2" ht="13">
      <c r="A252" s="101" t="str">
        <f ca="1">IFERROR(__xludf.DUMMYFUNCTION("""COMPUTED_VALUE"""),"Объем закупок крупнейших заказчиков у субъектов МСП составил:
 в 2019 году - 3,0 трлн рублей;
 в 2020 году - 3,4 трлн рублей;
 в 2021 году - 3,8 трлн рублей;
 в 2022 году - 4,2 трлн рублей;
 в 2023 году - 4,6 трлн рублей;
 в 2024 году - 5,0 трлн рублей")</f>
        <v>Объем закупок крупнейших заказчиков у субъектов МСП составил:
 в 2019 году - 3,0 трлн рублей;
 в 2020 году - 3,4 трлн рублей;
 в 2021 году - 3,8 трлн рублей;
 в 2022 году - 4,2 трлн рублей;
 в 2023 году - 4,6 трлн рублей;
 в 2024 году - 5,0 трлн рублей</v>
      </c>
      <c r="B252" s="101" t="str">
        <f ca="1">IFERROR(__xludf.DUMMYFUNCTION("""COMPUTED_VALUE"""),"индикатор")</f>
        <v>индикатор</v>
      </c>
    </row>
    <row r="253" spans="1:2" ht="13">
      <c r="A253" s="101" t="str">
        <f ca="1">IFERROR(__xludf.DUMMYFUNCTION("""COMPUTED_VALUE"""),"Обеспечен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субъекта"&amp;"х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руб"&amp;"лей,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к"&amp;" производственным площадям и помещениям в рамках промышленных парков, технопарков, млрд рублей")</f>
        <v>Обеспечен льготный доступ субъектов МСП к производственным площадям и помещениям в целях создания (развития) производственных и инновационных компаний, в том числе для целей участия субъектов МСП в закупках крупнейших заказчиков, путем создания в субъектах Российской Федерации не менее 129 промышленных парков, технопарков, в том числе в сфере высоких технологий и агропромышленного производства, с применением механизмов государственно-частного партнерства в период 2019 - 2024 годы:
 2019 г. - 7,1 млрд. рублей, 22 парка;
 2020 г. - 5,2 млрд. рублей, 10 парков;
 2021 г. - 2,0 млрд. рублей, 10 парков;
 2022 г. - 10,2 млрд. рублей, 61 парк; 
 2023 г. - 5,5 млрд. рублей, 26 парков.
 Увеличен объем инвестиций в основной капитал субъектов МСП, получивших доступ к производственным площадям и помещениям в рамках промышленных парков, технопарков, млрд рублей</v>
      </c>
      <c r="B253" s="101" t="str">
        <f ca="1">IFERROR(__xludf.DUMMYFUNCTION("""COMPUTED_VALUE"""),"индикатор")</f>
        <v>индикатор</v>
      </c>
    </row>
    <row r="254" spans="1:2" ht="13">
      <c r="A254" s="101" t="str">
        <f ca="1">IFERROR(__xludf.DUMMYFUNCTION("""COMPUTED_VALUE"""),"Организовано оказание комплекса услуг, сервисов и мер поддержки субъектам МСП в Центрах ""Мой бизнес"", в том числе финансовых (кредитных, гарантийных, лизинговых) услуг, консультационной и образовательной поддержки, поддержки по созданию и модернизации п"&amp;"роизводств, социального предпринимательства и в таких сферах, как благоустройство городской среды и сельской местности, экология, женское предпринимательство, а также услуг АО ""Корпорация ""МСП"" и АО ""Российский экспортный центр"", не менее чем в 100 Ц"&amp;"ентрах ""Мой бизнес"", в том числе по годам (нарастающим итогом):
 2019 г. - 20 Центров ""Мой бизнес"";
 2020 г. - 40 Центров ""Мой бизнес"";
 2021 г. - 80 Центров ""Мой бизнес"";
 2022 г. - 100 Центров ""Мой бизнес"";
 2023 г. - 100 Центров ""Мой бизнес"&amp;""";
 2024 г. - 100 Центров ""Мой бизнес"".
 К 2024 году доля субъектов МСП, охваченных услугами Центров ""Мой бизнес"" составит 10%")</f>
        <v>Организовано оказание комплекса услуг, сервисов и мер поддержки субъектам МСП в Центрах "Мой бизнес", в том числе финансовых (кредитных, гарантийных, лизинговых) услуг, консультационной и образовательной поддержки, поддержки по созданию и модернизации производств, социального предпринимательства и в таких сферах, как благоустройство городской среды и сельской местности, экология, женское предпринимательство, а также услуг АО "Корпорация "МСП" и АО "Российский экспортный центр", не менее чем в 100 Центрах "Мой бизнес", в том числе по годам (нарастающим итогом):
 2019 г. - 20 Центров "Мой бизнес";
 2020 г. - 40 Центров "Мой бизнес";
 2021 г. - 80 Центров "Мой бизнес";
 2022 г. - 100 Центров "Мой бизнес";
 2023 г. - 100 Центров "Мой бизнес";
 2024 г. - 100 Центров "Мой бизнес".
 К 2024 году доля субъектов МСП, охваченных услугами Центров "Мой бизнес" составит 10%</v>
      </c>
      <c r="B254" s="101" t="str">
        <f ca="1">IFERROR(__xludf.DUMMYFUNCTION("""COMPUTED_VALUE"""),"индикатор")</f>
        <v>индикатор</v>
      </c>
    </row>
    <row r="255" spans="1:2" ht="13">
      <c r="A255" s="101" t="str">
        <f ca="1">IFERROR(__xludf.DUMMYFUNCTION("""COMPUTED_VALUE"""),"Разработаны образовательные программы и обеспечено обучение региональных (муниципальных) команд, организаций инфраструктуры поддержки МСП. Количество команд, прошедших обучение за период 2019 - 2024 гг. составит 955 единиц, в том числе: 85 региональных ко"&amp;"манд, 170 муниципальных команд, 700 команд организаций инфраструктуры поддержки МСП. Количество человек, прошедших обучение к 2024 году составит 5,5 тыс. человек, в том числе по годам:
 2019 г. - 179 команд (количество человек, прошедших обучение - 2 000 "&amp;"ед.);
 2020 г. - 323 команды (количество человек, прошедших обучение и повысивших квалификацию - 3 360 ед.);
 2021 г. - 323 команды (количество человек, прошедших обучение и повысивших квалификацию - 4 950 ед.);
 2022 г. - 130 команд (количество человек, "&amp;"прошедших обучение и повысивших квалификацию - 5 500 ед.);
 2023 г. - 700 команд повысят квалификацию (количество человек, повысивших квалификацию 5500);
 2024 г. - 700 команд повысят квалификацию (количество человек, повысивших квалификацию 5500)")</f>
        <v>Разработаны образовательные программы и обеспечено обучение региональных (муниципальных) команд, организаций инфраструктуры поддержки МСП. Количество команд, прошедших обучение за период 2019 - 2024 гг. составит 955 единиц, в том числе: 85 региональных команд, 170 муниципальных команд, 700 команд организаций инфраструктуры поддержки МСП. Количество человек, прошедших обучение к 2024 году составит 5,5 тыс. человек, в том числе по годам:
 2019 г. - 179 команд (количество человек, прошедших обучение - 2 000 ед.);
 2020 г. - 323 команды (количество человек, прошедших обучение и повысивших квалификацию - 3 360 ед.);
 2021 г. - 323 команды (количество человек, прошедших обучение и повысивших квалификацию - 4 950 ед.);
 2022 г. - 130 команд (количество человек, прошедших обучение и повысивших квалификацию - 5 500 ед.);
 2023 г. - 700 команд повысят квалификацию (количество человек, повысивших квалификацию 5500);
 2024 г. - 700 команд повысят квалификацию (количество человек, повысивших квалификацию 5500)</v>
      </c>
      <c r="B255" s="101" t="str">
        <f ca="1">IFERROR(__xludf.DUMMYFUNCTION("""COMPUTED_VALUE"""),"индикатор")</f>
        <v>индикатор</v>
      </c>
    </row>
    <row r="256" spans="1:2" ht="13">
      <c r="A256" s="101" t="str">
        <f ca="1">IFERROR(__xludf.DUMMYFUNCTION("""COMPUTED_VALUE"""),"Оказана поддержка ежегодно не менее 100 инновационным, высокотехнологичным субъектам МСП, в том числе стартап-предприятиям и ""газелям""")</f>
        <v>Оказана поддержка ежегодно не менее 100 инновационным, высокотехнологичным субъектам МСП, в том числе стартап-предприятиям и "газелям"</v>
      </c>
      <c r="B256" s="101" t="str">
        <f ca="1">IFERROR(__xludf.DUMMYFUNCTION("""COMPUTED_VALUE"""),"индикатор")</f>
        <v>индикатор</v>
      </c>
    </row>
    <row r="257" spans="1:2" ht="13">
      <c r="A257" s="101" t="str">
        <f ca="1">IFERROR(__xludf.DUMMYFUNCTION("""COMPUTED_VALUE"""),"Разработана и реализована программа ""Расширение использования франшиз в секторе МСП"" (сопровождение при ""упаковке"" бизнес-идеи во франшизу), в частности, разработано не менее 20 новых франшиз в регионах ежегодно")</f>
        <v>Разработана и реализована программа "Расширение использования франшиз в секторе МСП" (сопровождение при "упаковке" бизнес-идеи во франшизу), в частности, разработано не менее 20 новых франшиз в регионах ежегодно</v>
      </c>
      <c r="B257" s="101" t="str">
        <f ca="1">IFERROR(__xludf.DUMMYFUNCTION("""COMPUTED_VALUE"""),"индикатор")</f>
        <v>индикатор</v>
      </c>
    </row>
    <row r="258" spans="1:2" ht="13">
      <c r="A258" s="101" t="str">
        <f ca="1">IFERROR(__xludf.DUMMYFUNCTION("""COMPUTED_VALUE"""),"Фондом содействия инновациям предоставлены гранты за счет субсидий из федерального бюджета субъектам МСП на осуществление научно исследовательских и опытно-конструкторских работ, а также на производство инновационной продукции, млрд. рублей:
 в 2019 г. - "&amp;"4,5
 в 2020 г. - 3,5
 в 2021 г. - 0,3
 в 2022 г. - 9,0
 в 2023 г. - 8,5
 в 2024 г. - 4,7
 Количество получивших поддержку субъектов МСП, осуществляющих деятельность в инновационных сферах, ед.")</f>
        <v>Фондом содействия инновациям предоставлены гранты за счет субсидий из федерального бюджета субъектам МСП на осуществление научно исследовательских и опытно-конструкторских работ, а также на производство инновационной продукции, млрд. рублей:
 в 2019 г. - 4,5
 в 2020 г. - 3,5
 в 2021 г. - 0,3
 в 2022 г. - 9,0
 в 2023 г. - 8,5
 в 2024 г. - 4,7
 Количество получивших поддержку субъектов МСП, осуществляющих деятельность в инновационных сферах, ед.</v>
      </c>
      <c r="B258" s="101" t="str">
        <f ca="1">IFERROR(__xludf.DUMMYFUNCTION("""COMPUTED_VALUE"""),"индикатор")</f>
        <v>индикатор</v>
      </c>
    </row>
    <row r="259" spans="1:2" ht="13">
      <c r="A259" s="101" t="str">
        <f ca="1">IFERROR(__xludf.DUMMYFUNCTION("""COMPUTED_VALUE"""),"Обеспечен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75"&amp;"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эксп"&amp;"орта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поддержки"&amp;" экспортно-ориентированных субъектов МСП, тыс. ед. нарастающим итогом")</f>
        <v>Обеспечен доступ субъектов МСП к экспортной поддержке во всех субъектах Российской Федерации к 2021 году, в том числе с привлечением торгово-промышленных палат субъектов Российской Федерации и административно-территориальных образований. Не менее чем в 75 субъектах Российской Федерации функционируют ЦПЭ. В других субъектах Российской Федерации определен специалист, обладающий компетенциями по консультационной поддержке экспортеров. 
 Количество субъектов Российской Федерации, осуществляющих поддержку экспорта субъектов МСП:
 в 2019 г. - 72 субъектов Российской Федерации;
 в 2020 г. - 75 субъектов Российской Федерации;
 в 2021 г. - 85 субъектов Российской Федерации
 Количество субъектов МСП, выведенных на экспорт при поддержке центров координации поддержки экспортно-ориентированных субъектов МСП, тыс. ед. нарастающим итогом</v>
      </c>
      <c r="B259" s="101" t="str">
        <f ca="1">IFERROR(__xludf.DUMMYFUNCTION("""COMPUTED_VALUE"""),"индикатор")</f>
        <v>индикатор</v>
      </c>
    </row>
    <row r="260" spans="1:2" ht="13">
      <c r="A260" s="101" t="str">
        <f ca="1">IFERROR(__xludf.DUMMYFUNCTION("""COMPUTED_VALUE"""),"Проведено ежегодно не менее 10 мероприятий, направленных на повышение информационной открытости закупок крупнейших заказчиков у субъектов МСП - сельскохозяйственных кооперативов в целях обеспечения доступа сельскохозяйственных кооперативов к закупкам сель"&amp;"скохозяйственной продукции крупнейшими заказчиками")</f>
        <v>Проведено ежегодно не менее 10 мероприятий, направленных на повышение информационной открытости закупок крупнейших заказчиков у субъектов МСП - сельскохозяйственных кооперативов в целях обеспечения доступа сельскохозяйственных кооперативов к закупкам сельскохозяйственной продукции крупнейшими заказчиками</v>
      </c>
      <c r="B260" s="101" t="str">
        <f ca="1">IFERROR(__xludf.DUMMYFUNCTION("""COMPUTED_VALUE"""),"индикатор")</f>
        <v>индикатор</v>
      </c>
    </row>
    <row r="261" spans="1:2" ht="13">
      <c r="A261" s="101" t="str">
        <f ca="1">IFERROR(__xludf.DUMMYFUNCTION("""COMPUTED_VALUE"""),"Обеспечена организация ежегодных обучающих семинаров для центров компетенций в сфере сельскохозяйственной кооперации и поддержки фермеров")</f>
        <v>Обеспечена организация ежегодных обучающих семинаров для центров компетенций в сфере сельскохозяйственной кооперации и поддержки фермеров</v>
      </c>
      <c r="B261" s="101" t="str">
        <f ca="1">IFERROR(__xludf.DUMMYFUNCTION("""COMPUTED_VALUE"""),"индикатор")</f>
        <v>индикатор</v>
      </c>
    </row>
    <row r="262" spans="1:2" ht="13">
      <c r="A262" s="101" t="str">
        <f ca="1">IFERROR(__xludf.DUMMYFUNCTION("""COMPUTED_VALUE"""),"Количество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f>
        <v>Количество крестьянских (фермерских) хозяйств и сельскохозяйственных потребительских кооперативов, получивших государственную поддержку, в том числе в рамках федерального проекта "Создание системы поддержки фермеров и развитие сельской кооперации"</v>
      </c>
      <c r="B262" s="101" t="str">
        <f ca="1">IFERROR(__xludf.DUMMYFUNCTION("""COMPUTED_VALUE"""),"индикатор")</f>
        <v>индикатор</v>
      </c>
    </row>
    <row r="263" spans="1:2" ht="13">
      <c r="A263" s="101" t="str">
        <f ca="1">IFERROR(__xludf.DUMMYFUNCTION("""COMPUTED_VALUE"""),"В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и"&amp;" развитие института наставничества.
 Количество вновь созданных субъектов МСП достигнет (нарастающим итогом) 
 62000 ед. в 2024 г.")</f>
        <v>В 85 субъектах Российской Федерации реализованы комплексные программы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
 Количество вновь созданных субъектов МСП достигнет (нарастающим итогом) 
 62000 ед. в 2024 г.</v>
      </c>
      <c r="B263" s="101" t="str">
        <f ca="1">IFERROR(__xludf.DUMMYFUNCTION("""COMPUTED_VALUE"""),"индикатор")</f>
        <v>индикатор</v>
      </c>
    </row>
    <row r="264" spans="1:2" ht="13">
      <c r="A264" s="101" t="str">
        <f ca="1">IFERROR(__xludf.DUMMYFUNCTION("""COMPUTED_VALUE"""),"Реализованы образовательные программы, курсы, в том числе модульные, направленные на развитие предпринимательских компетенций для каждой целевой группы, в том числе для:
 действующих предпринимателей;
 школьников; 
 лиц в возрасте до 30 лет, в том числе с"&amp;"тудентов; 
 женщин; 
 военнослужащих, уволенных в запас; 
 лиц старше 45 лет;
 безработных;
 инвалидов;
 выпускники и воспитанники детских домов")</f>
        <v>Реализованы образовательные программы, курсы, в том числе модульные, направленные на развитие предпринимательских компетенций для каждой целевой группы, в том числе для:
 действующих предпринимателей;
 школьников; 
 лиц в возрасте до 30 лет, в том числе студентов; 
 женщин; 
 военнослужащих, уволенных в запас; 
 лиц старше 45 лет;
 безработных;
 инвалидов;
 выпускники и воспитанники детских домов</v>
      </c>
      <c r="B264" s="101" t="str">
        <f ca="1">IFERROR(__xludf.DUMMYFUNCTION("""COMPUTED_VALUE"""),"индикатор")</f>
        <v>индикатор</v>
      </c>
    </row>
    <row r="265" spans="1:2" ht="13">
      <c r="A265" s="101" t="str">
        <f ca="1">IFERROR(__xludf.DUMMYFUNCTION("""COMPUTED_VALUE"""),"Подготовлены к 2024 г. не менее 3900 тренеров для обучения целевых групп по утвержденным методикам (нарастающим итогом)")</f>
        <v>Подготовлены к 2024 г. не менее 3900 тренеров для обучения целевых групп по утвержденным методикам (нарастающим итогом)</v>
      </c>
      <c r="B265" s="101" t="str">
        <f ca="1">IFERROR(__xludf.DUMMYFUNCTION("""COMPUTED_VALUE"""),"индикатор")</f>
        <v>индикатор</v>
      </c>
    </row>
    <row r="266" spans="1:2" ht="13">
      <c r="A266" s="101" t="str">
        <f ca="1">IFERROR(__xludf.DUMMYFUNCTION("""COMPUTED_VALUE"""),"Обучены основам ведения бизнеса, финансовой грамотности и иным навыкам предпринимательской деятельности к 2024 не менее 450 тыс. человек из целевых групп, в том числе:
 2019 год - 91 500 человек;
 2020 год - 95 550 человек;
 2021 год - 95 850 человек;
 20"&amp;"22 год - 61 425 человек;
 2023 год - 58 155 человек;
 2024 год - 50 680 человек")</f>
        <v>Обучены основам ведения бизнеса, финансовой грамотности и иным навыкам предпринимательской деятельности к 2024 не менее 450 тыс. человек из целевых групп, в том числе:
 2019 год - 91 500 человек;
 2020 год - 95 550 человек;
 2021 год - 95 850 человек;
 2022 год - 61 425 человек;
 2023 год - 58 155 человек;
 2024 год - 50 680 человек</v>
      </c>
      <c r="B266" s="101" t="str">
        <f ca="1">IFERROR(__xludf.DUMMYFUNCTION("""COMPUTED_VALUE"""),"индикатор")</f>
        <v>индикатор</v>
      </c>
    </row>
    <row r="267" spans="1:2" ht="13">
      <c r="A267" s="101" t="str">
        <f ca="1">IFERROR(__xludf.DUMMYFUNCTION("""COMPUTED_VALUE"""),"Количество субъектов Российской Федерации, участвующих в предоставлении налоговых преференций предприятиям для стимулирования роста производительности труда, ед.")</f>
        <v>Количество субъектов Российской Федерации, участвующих в предоставлении налоговых преференций предприятиям для стимулирования роста производительности труда, ед.</v>
      </c>
      <c r="B267" s="101" t="str">
        <f ca="1">IFERROR(__xludf.DUMMYFUNCTION("""COMPUTED_VALUE"""),"индикатор")</f>
        <v>индикатор</v>
      </c>
    </row>
    <row r="268" spans="1:2" ht="13">
      <c r="A268" s="101" t="str">
        <f ca="1">IFERROR(__xludf.DUMMYFUNCTION("""COMPUTED_VALUE"""),"На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климата»"&amp;"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мен"&amp;"ее (нарастающим итогом):")</f>
        <v>На ежегодной основе сформирован и направлен для рассмотрения в рамках механизма снятия административных ограничений для ведения предпринимательской деятельности и управления системными изменениями предпринимательской среды «Трансформация делового климата» перечень предложений от субъектов предпринимательской деятельности по совершенствованию нормативного правового регулирования в целях повышения производительности труда. 
 Количество измененных нормативных правовых актов (доля от перечня) составило не менее (нарастающим итогом):</v>
      </c>
      <c r="B268" s="101" t="str">
        <f ca="1">IFERROR(__xludf.DUMMYFUNCTION("""COMPUTED_VALUE"""),"индикатор")</f>
        <v>индикатор</v>
      </c>
    </row>
    <row r="269" spans="1:2" ht="13">
      <c r="A269" s="101" t="str">
        <f ca="1">IFERROR(__xludf.DUMMYFUNCTION("""COMPUTED_VALUE"""),"Профессиональная переподготовка 19,4 тысячи управленческих кадров, вовлеченных в реализацию национального проекта (нарастающим итогом).")</f>
        <v>Профессиональная переподготовка 19,4 тысячи управленческих кадров, вовлеченных в реализацию национального проекта (нарастающим итогом).</v>
      </c>
      <c r="B269" s="101" t="str">
        <f ca="1">IFERROR(__xludf.DUMMYFUNCTION("""COMPUTED_VALUE"""),"индикатор")</f>
        <v>индикатор</v>
      </c>
    </row>
    <row r="270" spans="1:2" ht="13">
      <c r="A270" s="101" t="str">
        <f ca="1">IFERROR(__xludf.DUMMYFUNCTION("""COMPUTED_VALUE"""),"Проведены международные стажировки для сотрудников предприятий - участников национального проекта")</f>
        <v>Проведены международные стажировки для сотрудников предприятий - участников национального проекта</v>
      </c>
      <c r="B270" s="101" t="str">
        <f ca="1">IFERROR(__xludf.DUMMYFUNCTION("""COMPUTED_VALUE"""),"индикатор")</f>
        <v>индикатор</v>
      </c>
    </row>
    <row r="271" spans="1:2" ht="13">
      <c r="A271" s="101" t="str">
        <f ca="1">IFERROR(__xludf.DUMMYFUNCTION("""COMPUTED_VALUE"""),"Предприятиям - участникам национального проекта оказана акселерационная поддержка по развитию экспортного потенциала")</f>
        <v>Предприятиям - участникам национального проекта оказана акселерационная поддержка по развитию экспортного потенциала</v>
      </c>
      <c r="B271" s="101" t="str">
        <f ca="1">IFERROR(__xludf.DUMMYFUNCTION("""COMPUTED_VALUE"""),"индикатор")</f>
        <v>индикатор</v>
      </c>
    </row>
    <row r="272" spans="1:2" ht="13">
      <c r="A272" s="101" t="str">
        <f ca="1">IFERROR(__xludf.DUMMYFUNCTION("""COMPUTED_VALUE"""),"Разработана и проведена программа по поддержке внедрения автоматизации и использования цифровых технологий. Количество предприятий, прошедших программу")</f>
        <v>Разработана и проведена программа по поддержке внедрения автоматизации и использования цифровых технологий. Количество предприятий, прошедших программу</v>
      </c>
      <c r="B272" s="101" t="str">
        <f ca="1">IFERROR(__xludf.DUMMYFUNCTION("""COMPUTED_VALUE"""),"индикатор")</f>
        <v>индикатор</v>
      </c>
    </row>
    <row r="273" spans="1:2" ht="13">
      <c r="A273" s="101" t="str">
        <f ca="1">IFERROR(__xludf.DUMMYFUNCTION("""COMPUTED_VALUE"""),"Субъектам Российской Федерации - участникам национального проекта ""Производительность труда и поддержка занятости"" предоставлены гранты за достижение показателей по росту производительности труда")</f>
        <v>Субъектам Российской Федерации - участникам национального проекта "Производительность труда и поддержка занятости" предоставлены гранты за достижение показателей по росту производительности труда</v>
      </c>
      <c r="B273" s="101" t="str">
        <f ca="1">IFERROR(__xludf.DUMMYFUNCTION("""COMPUTED_VALUE"""),"индикатор")</f>
        <v>индикатор</v>
      </c>
    </row>
    <row r="274" spans="1:2" ht="13">
      <c r="A274" s="101" t="str">
        <f ca="1">IFERROR(__xludf.DUMMYFUNCTION("""COMPUTED_VALUE"""),"Заключены соглашения с не менее чем 10 компаниями - партнерами")</f>
        <v>Заключены соглашения с не менее чем 10 компаниями - партнерами</v>
      </c>
      <c r="B274" s="101" t="str">
        <f ca="1">IFERROR(__xludf.DUMMYFUNCTION("""COMPUTED_VALUE"""),"индикатор")</f>
        <v>индикатор</v>
      </c>
    </row>
    <row r="275" spans="1:2" ht="13">
      <c r="A275" s="101" t="str">
        <f ca="1">IFERROR(__xludf.DUMMYFUNCTION("""COMPUTED_VALUE"""),"Созданы потоки-образцы (оптимизированы производственные/вспомогательные процессы) на предприятиях - участниках национального проекта под федеральным управлением (совместно с экспертами ФЦК) на базе сформированной инфраструктуры для развития производственн"&amp;"ой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f>
        <v>Созданы потоки-образцы (оптимизированы производственные/вспомогательные процессы) на предприятиях - участниках национального проекта под федеральным управлением (совместно с экспертами ФЦК) на базе сформированной инфраструктуры для развития производственной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v>
      </c>
      <c r="B275" s="101" t="str">
        <f ca="1">IFERROR(__xludf.DUMMYFUNCTION("""COMPUTED_VALUE"""),"индикатор")</f>
        <v>индикатор</v>
      </c>
    </row>
    <row r="276" spans="1:2" ht="13">
      <c r="A276" s="101" t="str">
        <f ca="1">IFERROR(__xludf.DUMMYFUNCTION("""COMPUTED_VALUE"""),"Проведено обучение сотрудников предприятий - участников национального проекта под федеральным управлением (совместно с экспертами ФЦК) и сотрудников предприятий, внедряющих мероприятия национального проекта самостоятельно, сотрудников региональных центров"&amp;" компетенций, а также сотрудников региональных и федеральных органов управления посредством специализированных тренингов, тестирований, программ обучения, направленных на повышение производительности труда")</f>
        <v>Проведено обучение сотрудников предприятий - участников национального проекта под федеральным управлением (совместно с экспертами ФЦК) и сотрудников предприятий, внедряющих мероприятия национального проекта самостоятельно, сотрудников региональных центров компетенций, а также сотрудников региональных и федеральных органов управления посредством специализированных тренингов, тестирований, программ обучения, направленных на повышение производительности труда</v>
      </c>
      <c r="B276" s="101" t="str">
        <f ca="1">IFERROR(__xludf.DUMMYFUNCTION("""COMPUTED_VALUE"""),"индикатор")</f>
        <v>индикатор</v>
      </c>
    </row>
    <row r="277" spans="1:2" ht="13">
      <c r="A277" s="101" t="str">
        <f ca="1">IFERROR(__xludf.DUMMYFUNCTION("""COMPUTED_VALUE"""),"Проведено обучение сотрудников предприятий – участников национального проекта под региональным управлением (совместно с экспертами РЦК) посредством специализированных тренингов, тестирований, программ обучения, направленных на повышение производительности"&amp;" труда")</f>
        <v>Проведено обучение сотрудников предприятий – участников национального проекта под региональным управлением (совместно с экспертами РЦК) посредством специализированных тренингов, тестирований, программ обучения, направленных на повышение производительности труда</v>
      </c>
      <c r="B277" s="101" t="str">
        <f ca="1">IFERROR(__xludf.DUMMYFUNCTION("""COMPUTED_VALUE"""),"индикатор")</f>
        <v>индикатор</v>
      </c>
    </row>
    <row r="278" spans="1:2" ht="13">
      <c r="A278" s="101" t="str">
        <f ca="1">IFERROR(__xludf.DUMMYFUNCTION("""COMPUTED_VALUE"""),"Созданы потоки-образцы на предприятиях - участниках национального проекта под региональным управлением (совместно с экспертами региональных центров компетенций в сфере производительности труда), а также внедряющих мероприятия национального проекта самосто"&amp;"ятельно (в том числе с привлечением консультантов), представляющие собой результат оптимизации производственных и/или вспомогательных процессов на базе сформированной инфраструктуры для развития производственной системы в рамках организационной, методолог"&amp;"ической, экспертно-аналитической и информационной поддержки программ повышения производительности труда на предприятиях")</f>
        <v>Созданы потоки-образцы на предприятиях - участниках национального проекта под региональным управлением (совместно с экспертами региональных центров компетенций в сфере производительности труда), а также внедряющих мероприятия национального проекта самостоятельно (в том числе с привлечением консультантов), представляющие собой результат оптимизации производственных и/или вспомогательных процессов на базе сформированной инфраструктуры для развития производственной системы в рамках организационной, методологической, экспертно-аналитической и информационной поддержки программ повышения производительности труда на предприятиях</v>
      </c>
      <c r="B278" s="101" t="str">
        <f ca="1">IFERROR(__xludf.DUMMYFUNCTION("""COMPUTED_VALUE"""),"индикатор")</f>
        <v>индикатор</v>
      </c>
    </row>
    <row r="279" spans="1:2" ht="13">
      <c r="A279" s="101" t="str">
        <f ca="1">IFERROR(__xludf.DUMMYFUNCTION("""COMPUTED_VALUE"""),"Численность прошедших переобучение, повысивших квалификацию работников предприятий в целях поддержки занятости и повышения эффективности рынка труда")</f>
        <v>Численность прошедших переобучение, повысивших квалификацию работников предприятий в целях поддержки занятости и повышения эффективности рынка труда</v>
      </c>
      <c r="B279" s="101" t="str">
        <f ca="1">IFERROR(__xludf.DUMMYFUNCTION("""COMPUTED_VALUE"""),"индикатор")</f>
        <v>индикатор</v>
      </c>
    </row>
    <row r="280" spans="1:2" ht="13">
      <c r="A280" s="101" t="str">
        <f ca="1">IFERROR(__xludf.DUMMYFUNCTION("""COMPUTED_VALUE"""),"В субъектах Российской Федерации - участниках национального проекта, где планируется обучение в текущем году, сформированы списки на обучение, выбраны обучающие курсы и обучающие организации")</f>
        <v>В субъектах Российской Федерации - участниках национального проекта, где планируется обучение в текущем году, сформированы списки на обучение, выбраны обучающие курсы и обучающие организации</v>
      </c>
      <c r="B280" s="101" t="str">
        <f ca="1">IFERROR(__xludf.DUMMYFUNCTION("""COMPUTED_VALUE"""),"индикатор")</f>
        <v>индикатор</v>
      </c>
    </row>
    <row r="281" spans="1:2" ht="13">
      <c r="A281" s="101" t="str">
        <f ca="1">IFERROR(__xludf.DUMMYFUNCTION("""COMPUTED_VALUE"""),"Количество центров занятости населения в субъектах Российской Федерации, в которых реализуются или реализованы проекты по модернизации")</f>
        <v>Количество центров занятости населения в субъектах Российской Федерации, в которых реализуются или реализованы проекты по модернизации</v>
      </c>
      <c r="B281" s="101" t="str">
        <f ca="1">IFERROR(__xludf.DUMMYFUNCTION("""COMPUTED_VALUE"""),"индикатор")</f>
        <v>индикатор</v>
      </c>
    </row>
    <row r="282" spans="1:2" ht="13">
      <c r="A282" s="101" t="str">
        <f ca="1">IFERROR(__xludf.DUMMYFUNCTION("""COMPUTED_VALUE"""),"Доля соискателей - получателей услуг по подбору вакансий центров занятости населения, в которых реализованы проекты по модернизации, удовлетворенных полученными услугами")</f>
        <v>Доля соискателей - получателей услуг по подбору вакансий центров занятости населения, в которых реализованы проекты по модернизации, удовлетворенных полученными услугами</v>
      </c>
      <c r="B282" s="101" t="str">
        <f ca="1">IFERROR(__xludf.DUMMYFUNCTION("""COMPUTED_VALUE"""),"индикатор")</f>
        <v>индикатор</v>
      </c>
    </row>
    <row r="283" spans="1:2" ht="13">
      <c r="A283" s="101" t="str">
        <f ca="1">IFERROR(__xludf.DUMMYFUNCTION("""COMPUTED_VALUE"""),"Доля работодателей -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f>
        <v>Доля работодателей - получателей услуг по подбору работников центров занятости населения, в которых реализованы проекты по модернизации, удовлетворенных полученными услугами</v>
      </c>
      <c r="B283" s="101" t="str">
        <f ca="1">IFERROR(__xludf.DUMMYFUNCTION("""COMPUTED_VALUE"""),"индикатор")</f>
        <v>индикатор</v>
      </c>
    </row>
    <row r="284" spans="1:2" ht="13">
      <c r="A284" s="101" t="str">
        <f ca="1">IFERROR(__xludf.DUMMYFUNCTION("""COMPUTED_VALUE"""),"Созданы/заменены более 1550 новых фельдшерских, фельдшерско-акушерских пунктов, врачебных амбулаторий")</f>
        <v>Созданы/заменены более 1550 новых фельдшерских, фельдшерско-акушерских пунктов, врачебных амбулаторий</v>
      </c>
      <c r="B284" s="101" t="str">
        <f ca="1">IFERROR(__xludf.DUMMYFUNCTION("""COMPUTED_VALUE"""),"индикатор")</f>
        <v>индикатор</v>
      </c>
    </row>
    <row r="285" spans="1:2" ht="13">
      <c r="A285" s="101" t="str">
        <f ca="1">IFERROR(__xludf.DUMMYFUNCTION("""COMPUTED_VALUE"""),"Введено в действие более 40 фельдшерско-акушерских пунктов и (или) офисов врачей общей практики в сельской местности")</f>
        <v>Введено в действие более 40 фельдшерско-акушерских пунктов и (или) офисов врачей общей практики в сельской местности</v>
      </c>
      <c r="B285" s="101" t="str">
        <f ca="1">IFERROR(__xludf.DUMMYFUNCTION("""COMPUTED_VALUE"""),"индикатор")</f>
        <v>индикатор</v>
      </c>
    </row>
    <row r="286" spans="1:2" ht="13">
      <c r="A286" s="101" t="str">
        <f ca="1">IFERROR(__xludf.DUMMYFUNCTION("""COMPUTED_VALUE"""),"Функционируют более 500 мобильных медицинских комплексов, приобретенных в 2019 году")</f>
        <v>Функционируют более 500 мобильных медицинских комплексов, приобретенных в 2019 году</v>
      </c>
      <c r="B286" s="101" t="str">
        <f ca="1">IFERROR(__xludf.DUMMYFUNCTION("""COMPUTED_VALUE"""),"индикатор")</f>
        <v>индикатор</v>
      </c>
    </row>
    <row r="287" spans="1:2" ht="13">
      <c r="A287" s="101" t="str">
        <f ca="1">IFERROR(__xludf.DUMMYFUNCTION("""COMPUTED_VALUE"""),"Функционируют более 1550 созданных/замененных в 2019-2020 годах фельдшерских, фельдшерско-акушерских пунктов, врачебных амбулаторий, оснащенных в соответствии с Положением об организации оказания первичной медико-санитарной помощи взрослому населению, утв"&amp;"ержденным приказом Минздравсоцразвития России от 15 мая 2012 года № 543н (далее - Положение)")</f>
        <v>Функционируют более 1550 созданных/замененных в 2019-2020 годах фельдшерских, фельдшерско-акушерских пунктов, врачебных амбулаторий, оснащенных в соответствии с Положением об организации оказания первичной медико-санитарной помощи взрослому населению, утвержденным приказом Минздравсоцразвития России от 15 мая 2012 года № 543н (далее - Положение)</v>
      </c>
      <c r="B287" s="101" t="str">
        <f ca="1">IFERROR(__xludf.DUMMYFUNCTION("""COMPUTED_VALUE"""),"индикатор")</f>
        <v>индикатор</v>
      </c>
    </row>
    <row r="288" spans="1:2" ht="13">
      <c r="A288" s="101" t="str">
        <f ca="1">IFERROR(__xludf.DUMMYFUNCTION("""COMPUTED_VALUE"""),"В схемы территориального планирования 85 субъектов Российской Федерации и геоинформационную систему Минздрава России включены сведения о медицинских организациях, оказывающих первичную медико-санитарную помощь")</f>
        <v>В схемы территориального планирования 85 субъектов Российской Федерации и геоинформационную систему Минздрава России включены сведения о медицинских организациях, оказывающих первичную медико-санитарную помощь</v>
      </c>
      <c r="B288" s="101" t="str">
        <f ca="1">IFERROR(__xludf.DUMMYFUNCTION("""COMPUTED_VALUE"""),"индикатор")</f>
        <v>индикатор</v>
      </c>
    </row>
    <row r="289" spans="1:2" ht="13">
      <c r="A289" s="101" t="str">
        <f ca="1">IFERROR(__xludf.DUMMYFUNCTION("""COMPUTED_VALUE"""),"Построено (реконструировано) не менее 78 вертолетных (посадочных) площадок при медицинских организациях или на расстоянии, соответствующему не более чем 15 минутному доезду на автомобиле скорой медицинской помощи.")</f>
        <v>Построено (реконструировано) не менее 78 вертолетных (посадочных) площадок при медицинских организациях или на расстоянии, соответствующему не более чем 15 минутному доезду на автомобиле скорой медицинской помощи.</v>
      </c>
      <c r="B289" s="101" t="str">
        <f ca="1">IFERROR(__xludf.DUMMYFUNCTION("""COMPUTED_VALUE"""),"индикатор")</f>
        <v>индикатор</v>
      </c>
    </row>
    <row r="290" spans="1:2" ht="13">
      <c r="A290" s="101" t="str">
        <f ca="1">IFERROR(__xludf.DUMMYFUNCTION("""COMPUTED_VALUE"""),"Функционируют более 1200 созданных в 2020 году фельдшерских, фельдшерско-акушерских пунктов, врачебных амбулаторий, оснащенных в соответствии с Положением")</f>
        <v>Функционируют более 1200 созданных в 2020 году фельдшерских, фельдшерско-акушерских пунктов, врачебных амбулаторий, оснащенных в соответствии с Положением</v>
      </c>
      <c r="B290" s="101" t="str">
        <f ca="1">IFERROR(__xludf.DUMMYFUNCTION("""COMPUTED_VALUE"""),"индикатор")</f>
        <v>индикатор</v>
      </c>
    </row>
    <row r="291" spans="1:2" ht="13">
      <c r="A291" s="101" t="str">
        <f ca="1">IFERROR(__xludf.DUMMYFUNCTION("""COMPUTED_VALUE"""),"Функционируют более 500 мобильных медицинских комплексов, приобретенных в 2020 году")</f>
        <v>Функционируют более 500 мобильных медицинских комплексов, приобретенных в 2020 году</v>
      </c>
      <c r="B291" s="101" t="str">
        <f ca="1">IFERROR(__xludf.DUMMYFUNCTION("""COMPUTED_VALUE"""),"индикатор")</f>
        <v>индикатор</v>
      </c>
    </row>
    <row r="292" spans="1:2" ht="13">
      <c r="A292" s="101" t="str">
        <f ca="1">IFERROR(__xludf.DUMMYFUNCTION("""COMPUTED_VALUE"""),"Приобретено более 1300 мобильных медицинских комплексов")</f>
        <v>Приобретено более 1300 мобильных медицинских комплексов</v>
      </c>
      <c r="B292" s="101" t="str">
        <f ca="1">IFERROR(__xludf.DUMMYFUNCTION("""COMPUTED_VALUE"""),"индикатор")</f>
        <v>индикатор</v>
      </c>
    </row>
    <row r="293" spans="1:2" ht="13">
      <c r="A293" s="101" t="str">
        <f ca="1">IFERROR(__xludf.DUMMYFUNCTION("""COMPUTED_VALUE"""),"Функционируют более 300 мобильных медицинских комплексов, приобретенных в 2021 году")</f>
        <v>Функционируют более 300 мобильных медицинских комплексов, приобретенных в 2021 году</v>
      </c>
      <c r="B293" s="101" t="str">
        <f ca="1">IFERROR(__xludf.DUMMYFUNCTION("""COMPUTED_VALUE"""),"индикатор")</f>
        <v>индикатор</v>
      </c>
    </row>
    <row r="294" spans="1:2" ht="13">
      <c r="A294" s="101" t="str">
        <f ca="1">IFERROR(__xludf.DUMMYFUNCTION("""COMPUTED_VALUE"""),"Выполнено не менее 12 500 вылетов санитарной авиации дополнительно к вылетам, осуществляемым за счет собственных средств бюджетов субъектов Российской Федерации")</f>
        <v>Выполнено не менее 12 500 вылетов санитарной авиации дополнительно к вылетам, осуществляемым за счет собственных средств бюджетов субъектов Российской Федерации</v>
      </c>
      <c r="B294" s="101" t="str">
        <f ca="1">IFERROR(__xludf.DUMMYFUNCTION("""COMPUTED_VALUE"""),"индикатор")</f>
        <v>индикатор</v>
      </c>
    </row>
    <row r="295" spans="1:2" ht="13">
      <c r="A295" s="101" t="str">
        <f ca="1">IFERROR(__xludf.DUMMYFUNCTION("""COMPUTED_VALUE"""),"В 85 субъектах Российской Федерации созданы региональные проектные офисы по созданию и внедрению ""Новой модели медицинской организации, оказывающей первичную медико-санитарную помощь""")</f>
        <v>В 85 субъектах Российской Федерации созданы региональные проектные офисы по созданию и внедрению "Новой модели медицинской организации, оказывающей первичную медико-санитарную помощь"</v>
      </c>
      <c r="B295" s="101" t="str">
        <f ca="1">IFERROR(__xludf.DUMMYFUNCTION("""COMPUTED_VALUE"""),"индикатор")</f>
        <v>индикатор</v>
      </c>
    </row>
    <row r="296" spans="1:2" ht="13">
      <c r="A296" s="101" t="str">
        <f ca="1">IFERROR(__xludf.DUMMYFUNCTION("""COMPUTED_VALUE"""),"В создании и тиражировании ""Новой модели медицинской организации, оказывающей первичную медико-санитарную помощь"", участвуют не менее 72,3% медицинских организаций, оказывающих данный вид помощи")</f>
        <v>В создании и тиражировании "Новой модели медицинской организации, оказывающей первичную медико-санитарную помощь", участвуют не менее 72,3% медицинских организаций, оказывающих данный вид помощи</v>
      </c>
      <c r="B296" s="101" t="str">
        <f ca="1">IFERROR(__xludf.DUMMYFUNCTION("""COMPUTED_VALUE"""),"индикатор")</f>
        <v>индикатор</v>
      </c>
    </row>
    <row r="297" spans="1:2" ht="13">
      <c r="A297" s="101" t="str">
        <f ca="1">IFERROR(__xludf.DUMMYFUNCTION("""COMPUTED_VALUE"""),"Внедрена система информирования граждан, застрахованных в системе обязательного медицинского страхования, о правах на получение бесплатной медицинской помощи (доля лиц, получающих информацию, от общего числа застрахованных лиц), % нарастающим итогом")</f>
        <v>Внедрена система информирования граждан, застрахованных в системе обязательного медицинского страхования, о правах на получение бесплатной медицинской помощи (доля лиц, получающих информацию, от общего числа застрахованных лиц), % нарастающим итогом</v>
      </c>
      <c r="B297" s="101" t="str">
        <f ca="1">IFERROR(__xludf.DUMMYFUNCTION("""COMPUTED_VALUE"""),"индикатор")</f>
        <v>индикатор</v>
      </c>
    </row>
    <row r="298" spans="1:2" ht="13">
      <c r="A298" s="101" t="str">
        <f ca="1">IFERROR(__xludf.DUMMYFUNCTION("""COMPUTED_VALUE"""),"В законодательство Российской Федерации об обязательном медицинском страховании внесены изменения, направленные на защиту прав пациентов")</f>
        <v>В законодательство Российской Федерации об обязательном медицинском страховании внесены изменения, направленные на защиту прав пациентов</v>
      </c>
      <c r="B298" s="101" t="str">
        <f ca="1">IFERROR(__xludf.DUMMYFUNCTION("""COMPUTED_VALUE"""),"индикатор")</f>
        <v>индикатор</v>
      </c>
    </row>
    <row r="299" spans="1:2" ht="13">
      <c r="A299" s="101" t="str">
        <f ca="1">IFERROR(__xludf.DUMMYFUNCTION("""COMPUTED_VALUE"""),"В 85 субъектах Российской Федерации разработаны и утверждены региональные программы ""Борьба с сердечно-сосудистыми заболеваниями""")</f>
        <v>В 85 субъектах Российской Федерации разработаны и утверждены региональные программы "Борьба с сердечно-сосудистыми заболеваниями"</v>
      </c>
      <c r="B299" s="101" t="str">
        <f ca="1">IFERROR(__xludf.DUMMYFUNCTION("""COMPUTED_VALUE"""),"индикатор")</f>
        <v>индикатор</v>
      </c>
    </row>
    <row r="300" spans="1:2" ht="13">
      <c r="A300" s="101" t="str">
        <f ca="1">IFERROR(__xludf.DUMMYFUNCTION("""COMPUTED_VALUE"""),"Проводится профилактика развития сердечно-сосудистых заболеваний и сердечно-сосудистых осложнений у пациентов высокого риска")</f>
        <v>Проводится профилактика развития сердечно-сосудистых заболеваний и сердечно-сосудистых осложнений у пациентов высокого риска</v>
      </c>
      <c r="B300" s="101" t="str">
        <f ca="1">IFERROR(__xludf.DUMMYFUNCTION("""COMPUTED_VALUE"""),"индикатор")</f>
        <v>индикатор</v>
      </c>
    </row>
    <row r="301" spans="1:2" ht="13">
      <c r="A301" s="101" t="str">
        <f ca="1">IFERROR(__xludf.DUMMYFUNCTION("""COMPUTED_VALUE"""),"Переоснащено/дооснащено медицинским оборудованием не менее 140 региональных сосудистых центров и 469 первичных сосудистых отделений в 85 субъектах Российской Федерации")</f>
        <v>Переоснащено/дооснащено медицинским оборудованием не менее 140 региональных сосудистых центров и 469 первичных сосудистых отделений в 85 субъектах Российской Федерации</v>
      </c>
      <c r="B301" s="101" t="str">
        <f ca="1">IFERROR(__xludf.DUMMYFUNCTION("""COMPUTED_VALUE"""),"индикатор")</f>
        <v>индикатор</v>
      </c>
    </row>
    <row r="302" spans="1:2" ht="13">
      <c r="A302" s="101" t="str">
        <f ca="1">IFERROR(__xludf.DUMMYFUNCTION("""COMPUTED_VALUE"""),"В 85 субъектах Российской Федерации разработаны и утверждены региональные программы ""Борьба с онкологическими заболеваниями""")</f>
        <v>В 85 субъектах Российской Федерации разработаны и утверждены региональные программы "Борьба с онкологическими заболеваниями"</v>
      </c>
      <c r="B302" s="101" t="str">
        <f ca="1">IFERROR(__xludf.DUMMYFUNCTION("""COMPUTED_VALUE"""),"индикатор")</f>
        <v>индикатор</v>
      </c>
    </row>
    <row r="303" spans="1:2" ht="13">
      <c r="A303" s="101" t="str">
        <f ca="1">IFERROR(__xludf.DUMMYFUNCTION("""COMPUTED_VALUE"""),"Финансовое обеспечение оказания медицинской помощи больным с онкологическими заболеваниями в соответствии с клиническими рекомендациями")</f>
        <v>Финансовое обеспечение оказания медицинской помощи больным с онкологическими заболеваниями в соответствии с клиническими рекомендациями</v>
      </c>
      <c r="B303" s="101" t="str">
        <f ca="1">IFERROR(__xludf.DUMMYFUNCTION("""COMPUTED_VALUE"""),"индикатор")</f>
        <v>индикатор</v>
      </c>
    </row>
    <row r="304" spans="1:2" ht="13">
      <c r="A304" s="101" t="str">
        <f ca="1">IFERROR(__xludf.DUMMYFUNCTION("""COMPUTED_VALUE"""),"Новое строительство и реконструкция")</f>
        <v>Новое строительство и реконструкция</v>
      </c>
      <c r="B304" s="101" t="str">
        <f ca="1">IFERROR(__xludf.DUMMYFUNCTION("""COMPUTED_VALUE"""),"индикатор")</f>
        <v>индикатор</v>
      </c>
    </row>
    <row r="305" spans="1:2" ht="13">
      <c r="A305" s="101" t="str">
        <f ca="1">IFERROR(__xludf.DUMMYFUNCTION("""COMPUTED_VALUE"""),"Созданы референс-центры иммуногистохимических, патоморфологических и лучевых методов исследований")</f>
        <v>Созданы референс-центры иммуногистохимических, патоморфологических и лучевых методов исследований</v>
      </c>
      <c r="B305" s="101" t="str">
        <f ca="1">IFERROR(__xludf.DUMMYFUNCTION("""COMPUTED_VALUE"""),"индикатор")</f>
        <v>индикатор</v>
      </c>
    </row>
    <row r="306" spans="1:2" ht="13">
      <c r="A306" s="101" t="str">
        <f ca="1">IFERROR(__xludf.DUMMYFUNCTION("""COMPUTED_VALUE"""),"Проведение информационно-коммуникационной кампании, направленной на раннее выявление онкологических заболеваний и повышение приверженности к лечению, охвачено не менее 70% аудитории граждан старше 18 лет по основным каналам: телевидение, радио и в информа"&amp;"ционно-телекоммуникационной сети «Интернет»")</f>
        <v>Проведение информационно-коммуникационной кампании, направленной на раннее выявление онкологических заболеваний и повышение приверженности к лечению, охвачено не менее 70% аудитории граждан старше 18 лет по основным каналам: телевидение, радио и в информационно-телекоммуникационной сети «Интернет»</v>
      </c>
      <c r="B306" s="101" t="str">
        <f ca="1">IFERROR(__xludf.DUMMYFUNCTION("""COMPUTED_VALUE"""),"индикатор")</f>
        <v>индикатор</v>
      </c>
    </row>
    <row r="307" spans="1:2" ht="13">
      <c r="A307" s="101" t="str">
        <f ca="1">IFERROR(__xludf.DUMMYFUNCTION("""COMPUTED_VALUE"""),"Не менее 45 федеральных медицинских организаций, имеющих в своей структуре онкологические подразделения, переоснащены медицинским оборудованием")</f>
        <v>Не менее 45 федеральных медицинских организаций, имеющих в своей структуре онкологические подразделения, переоснащены медицинским оборудованием</v>
      </c>
      <c r="B307" s="101" t="str">
        <f ca="1">IFERROR(__xludf.DUMMYFUNCTION("""COMPUTED_VALUE"""),"индикатор")</f>
        <v>индикатор</v>
      </c>
    </row>
    <row r="308" spans="1:2" ht="13">
      <c r="A308" s="101" t="str">
        <f ca="1">IFERROR(__xludf.DUMMYFUNCTION("""COMPUTED_VALUE"""),"Организованы центры амбулаторной онкологической помощи")</f>
        <v>Организованы центры амбулаторной онкологической помощи</v>
      </c>
      <c r="B308" s="101" t="str">
        <f ca="1">IFERROR(__xludf.DUMMYFUNCTION("""COMPUTED_VALUE"""),"индикатор")</f>
        <v>индикатор</v>
      </c>
    </row>
    <row r="309" spans="1:2" ht="13">
      <c r="A309" s="101" t="str">
        <f ca="1">IFERROR(__xludf.DUMMYFUNCTION("""COMPUTED_VALUE"""),"Организованы не менее 420 центров амбулаторной онкологической помощи")</f>
        <v>Организованы не менее 420 центров амбулаторной онкологической помощи</v>
      </c>
      <c r="B309" s="101" t="str">
        <f ca="1">IFERROR(__xludf.DUMMYFUNCTION("""COMPUTED_VALUE"""),"индикатор")</f>
        <v>индикатор</v>
      </c>
    </row>
    <row r="310" spans="1:2" ht="13">
      <c r="A310" s="101" t="str">
        <f ca="1">IFERROR(__xludf.DUMMYFUNCTION("""COMPUTED_VALUE"""),"Переоснащение медицинским оборудованием региональных медицинских организаций, оказывающих помощь больным онкологическими заболеваниями (диспансеров/больниц)")</f>
        <v>Переоснащение медицинским оборудованием региональных медицинских организаций, оказывающих помощь больным онкологическими заболеваниями (диспансеров/больниц)</v>
      </c>
      <c r="B310" s="101" t="str">
        <f ca="1">IFERROR(__xludf.DUMMYFUNCTION("""COMPUTED_VALUE"""),"индикатор")</f>
        <v>индикатор</v>
      </c>
    </row>
    <row r="311" spans="1:2" ht="13">
      <c r="A311" s="101" t="str">
        <f ca="1">IFERROR(__xludf.DUMMYFUNCTION("""COMPUTED_VALUE"""),"Завершено переоснащение медицинским оборудованием не менее 160 региональных медицинских организаций, оказывающих помощь больным онкологическими заболеваниями (диспансеров/больниц)")</f>
        <v>Завершено переоснащение медицинским оборудованием не менее 160 региональных медицинских организаций, оказывающих помощь больным онкологическими заболеваниями (диспансеров/больниц)</v>
      </c>
      <c r="B311" s="101" t="str">
        <f ca="1">IFERROR(__xludf.DUMMYFUNCTION("""COMPUTED_VALUE"""),"индикатор")</f>
        <v>индикатор</v>
      </c>
    </row>
    <row r="312" spans="1:2" ht="13">
      <c r="A312" s="101" t="str">
        <f ca="1">IFERROR(__xludf.DUMMYFUNCTION("""COMPUTED_VALUE"""),"Введены в эксплуатацию центры протонно-лучевой терапии (количество организаций нарастающим итогом)")</f>
        <v>Введены в эксплуатацию центры протонно-лучевой терапии (количество организаций нарастающим итогом)</v>
      </c>
      <c r="B312" s="101" t="str">
        <f ca="1">IFERROR(__xludf.DUMMYFUNCTION("""COMPUTED_VALUE"""),"индикатор")</f>
        <v>индикатор</v>
      </c>
    </row>
    <row r="313" spans="1:2" ht="13">
      <c r="A313" s="101" t="str">
        <f ca="1">IFERROR(__xludf.DUMMYFUNCTION("""COMPUTED_VALUE"""),"Введены в эксплуатацию центры протонно-лучевой терапии (количество организаций нарастающим итогом)")</f>
        <v>Введены в эксплуатацию центры протонно-лучевой терапии (количество организаций нарастающим итогом)</v>
      </c>
      <c r="B313" s="101" t="str">
        <f ca="1">IFERROR(__xludf.DUMMYFUNCTION("""COMPUTED_VALUE"""),"индикатор")</f>
        <v>индикатор</v>
      </c>
    </row>
    <row r="314" spans="1:2" ht="13">
      <c r="A314" s="101" t="str">
        <f ca="1">IFERROR(__xludf.DUMMYFUNCTION("""COMPUTED_VALUE"""),"В симуляционных центрах будут обучены специалисты в области перинатологии, неонатологии и педиатрии")</f>
        <v>В симуляционных центрах будут обучены специалисты в области перинатологии, неонатологии и педиатрии</v>
      </c>
      <c r="B314" s="101" t="str">
        <f ca="1">IFERROR(__xludf.DUMMYFUNCTION("""COMPUTED_VALUE"""),"индикатор")</f>
        <v>индикатор</v>
      </c>
    </row>
    <row r="315" spans="1:2" ht="13">
      <c r="A315" s="101" t="str">
        <f ca="1">IFERROR(__xludf.DUMMYFUNCTION("""COMPUTED_VALUE"""),"Увеличен охват детей в возрасте 15-17 лет профилактическими медицинскими осмотрами с целью сохранения их репродуктивного здоровья (доля от общего числа детей подлежащих осмотрам), %")</f>
        <v>Увеличен охват детей в возрасте 15-17 лет профилактическими медицинскими осмотрами с целью сохранения их репродуктивного здоровья (доля от общего числа детей подлежащих осмотрам), %</v>
      </c>
      <c r="B315" s="101" t="str">
        <f ca="1">IFERROR(__xludf.DUMMYFUNCTION("""COMPUTED_VALUE"""),"индикатор")</f>
        <v>индикатор</v>
      </c>
    </row>
    <row r="316" spans="1:2" ht="13">
      <c r="A316" s="101" t="str">
        <f ca="1">IFERROR(__xludf.DUMMYFUNCTION("""COMPUTED_VALUE"""),"Построено (реконструировано) детских больниц (корпусов)")</f>
        <v>Построено (реконструировано) детских больниц (корпусов)</v>
      </c>
      <c r="B316" s="101" t="str">
        <f ca="1">IFERROR(__xludf.DUMMYFUNCTION("""COMPUTED_VALUE"""),"индикатор")</f>
        <v>индикатор</v>
      </c>
    </row>
    <row r="317" spans="1:2" ht="13">
      <c r="A317" s="101" t="str">
        <f ca="1">IFERROR(__xludf.DUMMYFUNCTION("""COMPUTED_VALUE"""),"Будет оказана медицинская помощь женщинам в период беременности, родов и в послеродовый период, в том числе за счет средств родовых сертификатов")</f>
        <v>Будет оказана медицинская помощь женщинам в период беременности, родов и в послеродовый период, в том числе за счет средств родовых сертификатов</v>
      </c>
      <c r="B317" s="101" t="str">
        <f ca="1">IFERROR(__xludf.DUMMYFUNCTION("""COMPUTED_VALUE"""),"индикатор")</f>
        <v>индикатор</v>
      </c>
    </row>
    <row r="318" spans="1:2" ht="13">
      <c r="A318" s="101" t="str">
        <f ca="1">IFERROR(__xludf.DUMMYFUNCTION("""COMPUTED_VALUE"""),"Детские поликлиники/детские поликлинические отделения медицинских организаций, подведомственных федеральным органам исполнительной власти, будут дооснащены медицинскими изделиями и реализуют организационно-планировочные решения внутренних пространств, обе"&amp;"спечивающих комфортность пребывания детей в соответствии с приказом Минздрава России от 7 марта 2018 г. № 92н «Об утверждении Положения об организации оказания первичной медико-санитарной помощи детям»")</f>
        <v>Детские поликлиники/детские поликлинические отделения медицинских организаций, подведомственных федеральным органам исполнительной власти, будут дооснащены медицинскими изделиями и реализуют организационно-планировочные решения внутренних пространств, обеспечивающих комфортность пребывания детей в соответствии с приказом Минздрава России от 7 марта 2018 г. № 92н «Об утверждении Положения об организации оказания первичной медико-санитарной помощи детям»</v>
      </c>
      <c r="B318" s="101" t="str">
        <f ca="1">IFERROR(__xludf.DUMMYFUNCTION("""COMPUTED_VALUE"""),"индикатор")</f>
        <v>индикатор</v>
      </c>
    </row>
    <row r="319" spans="1:2" ht="13">
      <c r="A319" s="101" t="str">
        <f ca="1">IFERROR(__xludf.DUMMYFUNCTION("""COMPUTED_VALUE"""),"Увеличена численность врачей, работающих в государственных медицинских организациях, тыс. человек нарастающим итогом")</f>
        <v>Увеличена численность врачей, работающих в государственных медицинских организациях, тыс. человек нарастающим итогом</v>
      </c>
      <c r="B319" s="101" t="str">
        <f ca="1">IFERROR(__xludf.DUMMYFUNCTION("""COMPUTED_VALUE"""),"индикатор")</f>
        <v>индикатор</v>
      </c>
    </row>
    <row r="320" spans="1:2" ht="13">
      <c r="A320" s="101" t="str">
        <f ca="1">IFERROR(__xludf.DUMMYFUNCTION("""COMPUTED_VALUE"""),"Не менее 2 100 тыс. специалистов (нарастающим итогом) допущено к профессиональной деятельности через процедуру аккредитации специалистов")</f>
        <v>Не менее 2 100 тыс. специалистов (нарастающим итогом) допущено к профессиональной деятельности через процедуру аккредитации специалистов</v>
      </c>
      <c r="B320" s="101" t="str">
        <f ca="1">IFERROR(__xludf.DUMMYFUNCTION("""COMPUTED_VALUE"""),"индикатор")</f>
        <v>индикатор</v>
      </c>
    </row>
    <row r="321" spans="1:2" ht="13">
      <c r="A321" s="101" t="str">
        <f ca="1">IFERROR(__xludf.DUMMYFUNCTION("""COMPUTED_VALUE"""),"Разработано не менее 5 000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непрерывного медицин"&amp;"ского образования")</f>
        <v>Разработано не менее 5 000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непрерывного медицинского образования</v>
      </c>
      <c r="B321" s="101" t="str">
        <f ca="1">IFERROR(__xludf.DUMMYFUNCTION("""COMPUTED_VALUE"""),"индикатор")</f>
        <v>индикатор</v>
      </c>
    </row>
    <row r="322" spans="1:2" ht="13">
      <c r="A322" s="101" t="str">
        <f ca="1">IFERROR(__xludf.DUMMYFUNCTION("""COMPUTED_VALUE"""),"Не менее 75 дооснащенных симуляционных центров образовательных и научных организаций Минздрава России используются для непрерывного повышения квалификации врачей")</f>
        <v>Не менее 75 дооснащенных симуляционных центров образовательных и научных организаций Минздрава России используются для непрерывного повышения квалификации врачей</v>
      </c>
      <c r="B322" s="101" t="str">
        <f ca="1">IFERROR(__xludf.DUMMYFUNCTION("""COMPUTED_VALUE"""),"индикатор")</f>
        <v>индикатор</v>
      </c>
    </row>
    <row r="323" spans="1:2" ht="13">
      <c r="A323" s="101" t="str">
        <f ca="1">IFERROR(__xludf.DUMMYFUNCTION("""COMPUTED_VALUE"""),"Число специалистов, совершенствующих свои знания в рамках системы непрерывного медицинского образования, в том числе с использованием дистанционных образовательных технологий, путем освоения дополнительных образовательных программ, разработанных с учетом "&amp;"порядков оказания медицинской помощи, клинических рекомендаций и принципов доказательной медицины, с использованием портала непрерывного медицинского образования составило не менее 1880 тыс. человек")</f>
        <v>Число специалистов, совершенствующих свои знания в рамках системы непрерывного медицинского образования, в том числе с использованием дистанционных образовательных технологий, путем освоения дополнительных образовательных программ, разработанных с учетом порядков оказания медицинской помощи, клинических рекомендаций и принципов доказательной медицины, с использованием портала непрерывного медицинского образования составило не менее 1880 тыс. человек</v>
      </c>
      <c r="B323" s="101" t="str">
        <f ca="1">IFERROR(__xludf.DUMMYFUNCTION("""COMPUTED_VALUE"""),"индикатор")</f>
        <v>индикатор</v>
      </c>
    </row>
    <row r="324" spans="1:2" ht="13">
      <c r="A324" s="101" t="str">
        <f ca="1">IFERROR(__xludf.DUMMYFUNCTION("""COMPUTED_VALUE"""),"Создано аккредитационно-симуляционных центров для аккредитации специалистов (количество центров нарастающим итогом)")</f>
        <v>Создано аккредитационно-симуляционных центров для аккредитации специалистов (количество центров нарастающим итогом)</v>
      </c>
      <c r="B324" s="101" t="str">
        <f ca="1">IFERROR(__xludf.DUMMYFUNCTION("""COMPUTED_VALUE"""),"индикатор")</f>
        <v>индикатор</v>
      </c>
    </row>
    <row r="325" spans="1:2" ht="13">
      <c r="A325" s="101" t="str">
        <f ca="1">IFERROR(__xludf.DUMMYFUNCTION("""COMPUTED_VALUE"""),"На базе ранее созданных аккредитационно-симуляционных центров создано 8 независимых аккредитационных центров")</f>
        <v>На базе ранее созданных аккредитационно-симуляционных центров создано 8 независимых аккредитационных центров</v>
      </c>
      <c r="B325" s="101" t="str">
        <f ca="1">IFERROR(__xludf.DUMMYFUNCTION("""COMPUTED_VALUE"""),"индикатор")</f>
        <v>индикатор</v>
      </c>
    </row>
    <row r="326" spans="1:2" ht="13">
      <c r="A326" s="101" t="str">
        <f ca="1">IFERROR(__xludf.DUMMYFUNCTION("""COMPUTED_VALUE"""),"Актуализировано не менее 20% разработанных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непр"&amp;"ерывного медицинского образования")</f>
        <v>Актуализировано не менее 20% разработанных интерактивных образовательных модулей (нарастающим итогом) с учетом порядков оказания медицинской помощи, клинических рекомендаций и принципов доказательной медицины, размещенных на модернизированном портале непрерывного медицинского образования</v>
      </c>
      <c r="B326" s="101" t="str">
        <f ca="1">IFERROR(__xludf.DUMMYFUNCTION("""COMPUTED_VALUE"""),"индикатор")</f>
        <v>индикатор</v>
      </c>
    </row>
    <row r="327" spans="1:2" ht="13">
      <c r="A327" s="101" t="str">
        <f ca="1">IFERROR(__xludf.DUMMYFUNCTION("""COMPUTED_VALUE"""),"Проведение обучения по программам профессиональной переподготовки специалистов по профилям первичной медико-санитарной помощи, детского здравоохранения, онкологии (в том числе по паллиативной медицинской помощи) и сердечно-сосудистых заболеваний")</f>
        <v>Проведение обучения по программам профессиональной переподготовки специалистов по профилям первичной медико-санитарной помощи, детского здравоохранения, онкологии (в том числе по паллиативной медицинской помощи) и сердечно-сосудистых заболеваний</v>
      </c>
      <c r="B327" s="101" t="str">
        <f ca="1">IFERROR(__xludf.DUMMYFUNCTION("""COMPUTED_VALUE"""),"индикатор")</f>
        <v>индикатор</v>
      </c>
    </row>
    <row r="328" spans="1:2" ht="13">
      <c r="A328" s="101" t="str">
        <f ca="1">IFERROR(__xludf.DUMMYFUNCTION("""COMPUTED_VALUE"""),"Увеличена численность средних медицинских работников, работающих в государственных медицинских организациях, тыс. человек нарастающим итогом")</f>
        <v>Увеличена численность средних медицинских работников, работающих в государственных медицинских организациях, тыс. человек нарастающим итогом</v>
      </c>
      <c r="B328" s="101" t="str">
        <f ca="1">IFERROR(__xludf.DUMMYFUNCTION("""COMPUTED_VALUE"""),"индикатор")</f>
        <v>индикатор</v>
      </c>
    </row>
    <row r="329" spans="1:2" ht="13">
      <c r="A329" s="101" t="str">
        <f ca="1">IFERROR(__xludf.DUMMYFUNCTION("""COMPUTED_VALUE"""),"Сформирована сеть национальных медицинских исследовательских центров (количество центров нарастающим итогом)")</f>
        <v>Сформирована сеть национальных медицинских исследовательских центров (количество центров нарастающим итогом)</v>
      </c>
      <c r="B329" s="101" t="str">
        <f ca="1">IFERROR(__xludf.DUMMYFUNCTION("""COMPUTED_VALUE"""),"индикатор")</f>
        <v>индикатор</v>
      </c>
    </row>
    <row r="330" spans="1:2" ht="13">
      <c r="A330" s="101" t="str">
        <f ca="1">IFERROR(__xludf.DUMMYFUNCTION("""COMPUTED_VALUE"""),"Количество проведенных национальными медицинскими исследовательскими центрами дистанционных консультаций/консилиумов с применением телемедицины для региональных медицинских организаций третьего уровня, тыс. консультаций нарастающим итогом")</f>
        <v>Количество проведенных национальными медицинскими исследовательскими центрами дистанционных консультаций/консилиумов с применением телемедицины для региональных медицинских организаций третьего уровня, тыс. консультаций нарастающим итогом</v>
      </c>
      <c r="B330" s="101" t="str">
        <f ca="1">IFERROR(__xludf.DUMMYFUNCTION("""COMPUTED_VALUE"""),"индикатор")</f>
        <v>индикатор</v>
      </c>
    </row>
    <row r="331" spans="1:2" ht="13">
      <c r="A331" s="101" t="str">
        <f ca="1">IFERROR(__xludf.DUMMYFUNCTION("""COMPUTED_VALUE"""),"По результатам клинической апробации включены в клинические рекомендации новые методы профилактики, диагностики, лечения и реабилитации (количество новых методов нарастающим итогом)")</f>
        <v>По результатам клинической апробации включены в клинические рекомендации новые методы профилактики, диагностики, лечения и реабилитации (количество новых методов нарастающим итогом)</v>
      </c>
      <c r="B331" s="101" t="str">
        <f ca="1">IFERROR(__xludf.DUMMYFUNCTION("""COMPUTED_VALUE"""),"индикатор")</f>
        <v>индикатор</v>
      </c>
    </row>
    <row r="332" spans="1:2" ht="13">
      <c r="A332" s="101" t="str">
        <f ca="1">IFERROR(__xludf.DUMMYFUNCTION("""COMPUTED_VALUE"""),"Внедрены системы контроля качества медицинской помощи на основе клинических рекомендаций в региональных медицинских организациях третьего уровня (количество организаций нарастающим итогом)")</f>
        <v>Внедрены системы контроля качества медицинской помощи на основе клинических рекомендаций в региональных медицинских организациях третьего уровня (количество организаций нарастающим итогом)</v>
      </c>
      <c r="B332" s="101" t="str">
        <f ca="1">IFERROR(__xludf.DUMMYFUNCTION("""COMPUTED_VALUE"""),"индикатор")</f>
        <v>индикатор</v>
      </c>
    </row>
    <row r="333" spans="1:2" ht="13">
      <c r="A333" s="101" t="str">
        <f ca="1">IFERROR(__xludf.DUMMYFUNCTION("""COMPUTED_VALUE"""),"Обеспечена защищенная сеть передачи данных, к которой подключены не менее 80% структурных подразделений медицинских организаций.")</f>
        <v>Обеспечена защищенная сеть передачи данных, к которой подключены не менее 80% структурных подразделений медицинских организаций.</v>
      </c>
      <c r="B333" s="101" t="str">
        <f ca="1">IFERROR(__xludf.DUMMYFUNCTION("""COMPUTED_VALUE"""),"индикатор")</f>
        <v>индикатор</v>
      </c>
    </row>
    <row r="334" spans="1:2" ht="13">
      <c r="A334" s="101" t="str">
        <f ca="1">IFERROR(__xludf.DUMMYFUNCTION("""COMPUTED_VALUE"""),"100% медицинских организаций государственной и муниципальной систем здравоохранения субъектов Российской Федерации обеспечивают межведомственное электронное взаимодействие, в том числе с учреждениями медико-социальной экспертизы.")</f>
        <v>100% медицинских организаций государственной и муниципальной систем здравоохранения субъектов Российской Федерации обеспечивают межведомственное электронное взаимодействие, в том числе с учреждениями медико-социальной экспертизы.</v>
      </c>
      <c r="B334" s="101" t="str">
        <f ca="1">IFERROR(__xludf.DUMMYFUNCTION("""COMPUTED_VALUE"""),"индикатор")</f>
        <v>индикатор</v>
      </c>
    </row>
    <row r="335" spans="1:2" ht="13">
      <c r="A335" s="101" t="str">
        <f ca="1">IFERROR(__xludf.DUMMYFUNCTION("""COMPUTED_VALUE"""),"Организовано не менее 820 тысяч автоматизированных рабочих мест медицинских работников при внедрении и эксплуатации медицинских информационных систем, соответствующих требованиям Минздрава России в медицинских организациях государственной и муниципальной "&amp;"систем здравоохранения субъектов Российской Федерации.")</f>
        <v>Организовано не менее 820 тысяч автоматизированных рабочих мест медицинских работников при внедрении и эксплуатации медицинских информационных систем, соответствующих требованиям Минздрава России в медицинских организациях государственной и муниципальной систем здравоохранения субъектов Российской Федерации.</v>
      </c>
      <c r="B335" s="101" t="str">
        <f ca="1">IFERROR(__xludf.DUMMYFUNCTION("""COMPUTED_VALUE"""),"индикатор")</f>
        <v>индикатор</v>
      </c>
    </row>
    <row r="336" spans="1:2" ht="13">
      <c r="A336" s="101" t="str">
        <f ca="1">IFERROR(__xludf.DUMMYFUNCTION("""COMPUTED_VALUE"""),"В 85 субъектах Российской Федерации функционирует централизованная подсистема государственной информационной системы в сфере здравоохранения «Телемедицинские консультации», к которой подключены все медицинские организации государственной и муниципальной с"&amp;"истем здравоохранения субъектов Российской Федерации второго и третьего уровней.")</f>
        <v>В 85 субъектах Российской Федерации функционирует централизованная подсистема государственной информационной системы в сфере здравоохранения «Телемедицинские консультации», к которой подключены все медицинские организации государственной и муниципальной систем здравоохранения субъектов Российской Федерации второго и третьего уровней.</v>
      </c>
      <c r="B336" s="101" t="str">
        <f ca="1">IFERROR(__xludf.DUMMYFUNCTION("""COMPUTED_VALUE"""),"индикатор")</f>
        <v>индикатор</v>
      </c>
    </row>
    <row r="337" spans="1:2" ht="13">
      <c r="A337" s="101" t="str">
        <f ca="1">IFERROR(__xludf.DUMMYFUNCTION("""COMPUTED_VALUE"""),"85 субъектов Российской Федерации реализовали систему электронных рецептов.")</f>
        <v>85 субъектов Российской Федерации реализовали систему электронных рецептов.</v>
      </c>
      <c r="B337" s="101" t="str">
        <f ca="1">IFERROR(__xludf.DUMMYFUNCTION("""COMPUTED_VALUE"""),"индикатор")</f>
        <v>индикатор</v>
      </c>
    </row>
    <row r="338" spans="1:2" ht="13">
      <c r="A338" s="101" t="str">
        <f ca="1">IFERROR(__xludf.DUMMYFUNCTION("""COMPUTED_VALUE"""),"85 субъектов реализовали региональные проекты «Создание единого цифрового контура в здравоохранении на основе единой государственной информационной системы здравоохранения (ЕГИСЗ)» с целью внедрения в медицинских организациях государственной и муниципальн"&amp;"ой систем здравоохранения медицинских информационных систем, соответствующих требованиям Минздрава России и реализации государственных информационных систем в сфере здравоохранения, соответствующих требованиям Минздрава России, обеспечивающих информационн"&amp;"ое взаимодействие с подсистемами ЕГИСЗ")</f>
        <v>85 субъектов реализовали региональные проекты «Создание единого цифрового контура в здравоохранении на основе единой государственной информационной системы здравоохранения (ЕГИСЗ)» с целью внедрения в медицинских организациях государственной и муниципальной систем здравоохранения медицинских информационных систем, соответствующих требованиям Минздрава России и реализации государственных информационных систем в сфере здравоохранения, соответствующих требованиям Минздрава России, обеспечивающих информационное взаимодействие с подсистемами ЕГИСЗ</v>
      </c>
      <c r="B338" s="101" t="str">
        <f ca="1">IFERROR(__xludf.DUMMYFUNCTION("""COMPUTED_VALUE"""),"индикатор")</f>
        <v>индикатор</v>
      </c>
    </row>
    <row r="339" spans="1:2" ht="13">
      <c r="A339" s="101" t="str">
        <f ca="1">IFERROR(__xludf.DUMMYFUNCTION("""COMPUTED_VALUE"""),"Внедрены медицинские информационные системы в 80% медицинских организаций")</f>
        <v>Внедрены медицинские информационные системы в 80% медицинских организаций</v>
      </c>
      <c r="B339" s="101" t="str">
        <f ca="1">IFERROR(__xludf.DUMMYFUNCTION("""COMPUTED_VALUE"""),"индикатор")</f>
        <v>индикатор</v>
      </c>
    </row>
    <row r="340" spans="1:2" ht="13">
      <c r="A340" s="101" t="str">
        <f ca="1">IFERROR(__xludf.DUMMYFUNCTION("""COMPUTED_VALUE"""),"100% медицинских организаций обеспечивают для граждан доступ к юридически значимым электронным медицинским документам посредством Личного кабинета пациента «Мое здоровье» на Едином портале государственных и муниципальных услуг")</f>
        <v>100% медицинских организаций обеспечивают для граждан доступ к юридически значимым электронным медицинским документам посредством Личного кабинета пациента «Мое здоровье» на Едином портале государственных и муниципальных услуг</v>
      </c>
      <c r="B340" s="101" t="str">
        <f ca="1">IFERROR(__xludf.DUMMYFUNCTION("""COMPUTED_VALUE"""),"индикатор")</f>
        <v>индикатор</v>
      </c>
    </row>
    <row r="341" spans="1:2" ht="13">
      <c r="A341"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2019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2019 год</v>
      </c>
      <c r="B341" s="101" t="str">
        <f ca="1">IFERROR(__xludf.DUMMYFUNCTION("""COMPUTED_VALUE"""),"индикатор")</f>
        <v>индикатор</v>
      </c>
    </row>
    <row r="342" spans="1:2" ht="13">
      <c r="A342"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2020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2020 год</v>
      </c>
      <c r="B342" s="101" t="str">
        <f ca="1">IFERROR(__xludf.DUMMYFUNCTION("""COMPUTED_VALUE"""),"индикатор")</f>
        <v>индикатор</v>
      </c>
    </row>
    <row r="343" spans="1:2" ht="13">
      <c r="A343"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2021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2021 год</v>
      </c>
      <c r="B343" s="101" t="str">
        <f ca="1">IFERROR(__xludf.DUMMYFUNCTION("""COMPUTED_VALUE"""),"индикатор")</f>
        <v>индикатор</v>
      </c>
    </row>
    <row r="344" spans="1:2" ht="13">
      <c r="A344"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2022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2022 год</v>
      </c>
      <c r="B344" s="101" t="str">
        <f ca="1">IFERROR(__xludf.DUMMYFUNCTION("""COMPUTED_VALUE"""),"индикатор")</f>
        <v>индикатор</v>
      </c>
    </row>
    <row r="345" spans="1:2" ht="13">
      <c r="A345"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2023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2023 год</v>
      </c>
      <c r="B345" s="101" t="str">
        <f ca="1">IFERROR(__xludf.DUMMYFUNCTION("""COMPUTED_VALUE"""),"индикатор")</f>
        <v>индикатор</v>
      </c>
    </row>
    <row r="346" spans="1:2" ht="13">
      <c r="A346" s="101" t="str">
        <f ca="1">IFERROR(__xludf.DUMMYFUNCTION("""COMPUTED_VALUE"""),"Реализована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2024 год")</f>
        <v>Реализована программа коммуникационных мероприятий по повышению уровня информированности иностранных граждан о медицинских услугах, оказываемых на территории Российской Федерации за 2024 год</v>
      </c>
      <c r="B346" s="101" t="str">
        <f ca="1">IFERROR(__xludf.DUMMYFUNCTION("""COMPUTED_VALUE"""),"индикатор")</f>
        <v>индикатор</v>
      </c>
    </row>
    <row r="347" spans="1:2" ht="13">
      <c r="A347" s="101" t="str">
        <f ca="1">IFERROR(__xludf.DUMMYFUNCTION("""COMPUTED_VALUE"""),"Ежегодно обеспечено не менее 2,5 миллионов просмотров телевизионных и радиопрограмм, телевизионных документальных фильмов, Интернет-сайтов, направленных на сохранение семейных ценностей, поддержку материнства и детства")</f>
        <v>Ежегодно обеспечено не менее 2,5 миллионов просмотров телевизионных и радиопрограмм, телевизионных документальных фильмов, Интернет-сайтов, направленных на сохранение семейных ценностей, поддержку материнства и детства</v>
      </c>
      <c r="B347" s="101" t="str">
        <f ca="1">IFERROR(__xludf.DUMMYFUNCTION("""COMPUTED_VALUE"""),"индикатор")</f>
        <v>индикатор</v>
      </c>
    </row>
    <row r="348" spans="1:2" ht="13">
      <c r="A348" s="101" t="str">
        <f ca="1">IFERROR(__xludf.DUMMYFUNCTION("""COMPUTED_VALUE"""),"Ежегодно тираж периодических печатных изданий, реализовавших проекты, направленные на сохранение семейных ценностей, поддержку материнства и детства, составил не менее 500 тысяч экземпляров")</f>
        <v>Ежегодно тираж периодических печатных изданий, реализовавших проекты, направленные на сохранение семейных ценностей, поддержку материнства и детства, составил не менее 500 тысяч экземпляров</v>
      </c>
      <c r="B348" s="101" t="str">
        <f ca="1">IFERROR(__xludf.DUMMYFUNCTION("""COMPUTED_VALUE"""),"индикатор")</f>
        <v>индикатор</v>
      </c>
    </row>
    <row r="349" spans="1:2" ht="13">
      <c r="A349" s="101" t="str">
        <f ca="1">IFERROR(__xludf.DUMMYFUNCTION("""COMPUTED_VALUE"""),"К концу 2024 года количество активно вовлеченных российских кредитных организаций, предоставляющих ипотечные кредиты (займы) семьям, имеющим двух и более детей, по ставке 6 процентов годовых, увеличится в 5 раз")</f>
        <v>К концу 2024 года количество активно вовлеченных российских кредитных организаций, предоставляющих ипотечные кредиты (займы) семьям, имеющим двух и более детей, по ставке 6 процентов годовых, увеличится в 5 раз</v>
      </c>
      <c r="B349" s="101" t="str">
        <f ca="1">IFERROR(__xludf.DUMMYFUNCTION("""COMPUTED_VALUE"""),"индикатор")</f>
        <v>индикатор</v>
      </c>
    </row>
    <row r="350" spans="1:2" ht="13">
      <c r="A350" s="101" t="str">
        <f ca="1">IFERROR(__xludf.DUMMYFUNCTION("""COMPUTED_VALUE"""),"Численность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за"&amp;"нятости, в субъектах Российской Федерации (не менее 230 тыс. человек к 2024 году)")</f>
        <v>Численность прошедших переобучение и повышение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 в субъектах Российской Федерации (не менее 230 тыс. человек к 2024 году)</v>
      </c>
      <c r="B350" s="101" t="str">
        <f ca="1">IFERROR(__xludf.DUMMYFUNCTION("""COMPUTED_VALUE"""),"индикатор")</f>
        <v>индикатор</v>
      </c>
    </row>
    <row r="351" spans="1:2" ht="13">
      <c r="A351" s="101" t="str">
        <f ca="1">IFERROR(__xludf.DUMMYFUNCTION("""COMPUTED_VALUE"""),"Созданы дополнительные места в дошкольных образовательных организациях для детей в возрасте до 3 лет, тыс. мест нарастающим итогом")</f>
        <v>Созданы дополнительные места в дошкольных образовательных организациях для детей в возрасте до 3 лет, тыс. мест нарастающим итогом</v>
      </c>
      <c r="B351" s="101" t="str">
        <f ca="1">IFERROR(__xludf.DUMMYFUNCTION("""COMPUTED_VALUE"""),"индикатор")</f>
        <v>индикатор</v>
      </c>
    </row>
    <row r="352" spans="1:2" ht="13">
      <c r="A352" s="101" t="str">
        <f ca="1">IFERROR(__xludf.DUMMYFUNCTION("""COMPUTED_VALUE"""),"Организовано повышение квалификации не менее 1 тыс.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предпринимателе"&amp;"й,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с учетом приоритетности региональных программ субъ"&amp;"ектов Российской Федерации, в том числе входящих в состав Дальневосточного и Северо-Кавказского федеральных округов")</f>
        <v>Организовано повышение квалификации не менее 1 тыс. специалистов управления в сфере образования на уровне субъектов Российской Федерации и муниципальных образований, а также специалистов и руководителей частных организаций и индивидуальных предпринимателей, осуществляющих организацию и обеспечение реализации образовательных программ дошкольного образования и присмотр и уход за детьми дошкольного возраста в негосударственном секторе дошкольного образования с учетом приоритетности региональных программ субъектов Российской Федерации, в том числе входящих в состав Дальневосточного и Северо-Кавказского федеральных округов</v>
      </c>
      <c r="B352" s="101" t="str">
        <f ca="1">IFERROR(__xludf.DUMMYFUNCTION("""COMPUTED_VALUE"""),"индикатор")</f>
        <v>индикатор</v>
      </c>
    </row>
    <row r="353" spans="1:2" ht="13">
      <c r="A353" s="101" t="str">
        <f ca="1">IFERROR(__xludf.DUMMYFUNCTION("""COMPUTED_VALUE"""),"Созданы дополнительные места в дошкольных организациях для детей в возрасте от 1,5 до 3 лет, тыс. мест, нарастающим итогом")</f>
        <v>Созданы дополнительные места в дошкольных организациях для детей в возрасте от 1,5 до 3 лет, тыс. мест, нарастающим итогом</v>
      </c>
      <c r="B353" s="101" t="str">
        <f ca="1">IFERROR(__xludf.DUMMYFUNCTION("""COMPUTED_VALUE"""),"индикатор")</f>
        <v>индикатор</v>
      </c>
    </row>
    <row r="354" spans="1:2" ht="13">
      <c r="A354" s="101" t="str">
        <f ca="1">IFERROR(__xludf.DUMMYFUNCTION("""COMPUTED_VALUE"""),"Созданы дополнительные места в субъектах Российской Федерации для детей в возрасте от 1,5 до 3 лет любой направленности в организациях, осуществляющих образовательную деятельность (за исключением государственных и муниципальных), и у индивидуальных предпр"&amp;"инимателей,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f>
        <v>Созданы дополнительные места в субъектах Российской Федерации для детей в возрасте от 1,5 до 3 лет любой направленности в организациях, осуществляющих образовательную деятельность (за исключением государственных и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v>
      </c>
      <c r="B354" s="101" t="str">
        <f ca="1">IFERROR(__xludf.DUMMYFUNCTION("""COMPUTED_VALUE"""),"индикатор")</f>
        <v>индикатор</v>
      </c>
    </row>
    <row r="355" spans="1:2" ht="13">
      <c r="A355" s="101" t="str">
        <f ca="1">IFERROR(__xludf.DUMMYFUNCTION("""COMPUTED_VALUE"""),"Созданы дополнительные места в дошкольных организациях для детей в возрасте от 1,5 до 3 лет за счет средств бюджетов субъектов Российской Федерации и местных бюджетов (без софинансирования из федерального бюджета и за исключением дополнительных мест, созд"&amp;"ание которых предусматривается в рамках исполнения подпункта «б» пункта 9 Правил предоставления и распределения иных межбюджетных трансфертов из федерального бюджета на создание дополнительных мест для детей в возрасте от 2 месяцев до 3 лет и подпункта «б"&amp;"» пункта 9 Правил предоставления и распределения субсидий из федерального бюджета на создание дополнительных мест для детей в возрасте от 1,5 до 3 лет), тыс. мест, нарастающим итогом")</f>
        <v>Созданы дополнительные места в дошкольных организациях для детей в возрасте от 1,5 до 3 лет за счет средств бюджетов субъектов Российской Федерации и местных бюджетов (без софинансирования из федерального бюджета и за исключением дополнительных мест, создание которых предусматривается в рамках исполнения подпункта «б» пункта 9 Правил предоставления и распределения иных межбюджетных трансфертов из федерального бюджета на создание дополнительных мест для детей в возрасте от 2 месяцев до 3 лет и подпункта «б» пункта 9 Правил предоставления и распределения субсидий из федерального бюджета на создание дополнительных мест для детей в возрасте от 1,5 до 3 лет), тыс. мест, нарастающим итогом</v>
      </c>
      <c r="B355" s="101" t="str">
        <f ca="1">IFERROR(__xludf.DUMMYFUNCTION("""COMPUTED_VALUE"""),"индикатор")</f>
        <v>индикатор</v>
      </c>
    </row>
    <row r="356" spans="1:2" ht="13">
      <c r="A356" s="101" t="str">
        <f ca="1">IFERROR(__xludf.DUMMYFUNCTION("""COMPUTED_VALUE"""),"В 85 субъектах Российской Федерации приняты региональные программы, включающие мероприятия по увеличению периода активного долголетия и продолжительности здоровой жизни и начата их реализация")</f>
        <v>В 85 субъектах Российской Федерации приняты региональные программы, включающие мероприятия по увеличению периода активного долголетия и продолжительности здоровой жизни и начата их реализация</v>
      </c>
      <c r="B356" s="101" t="str">
        <f ca="1">IFERROR(__xludf.DUMMYFUNCTION("""COMPUTED_VALUE"""),"индикатор")</f>
        <v>индикатор</v>
      </c>
    </row>
    <row r="357" spans="1:2" ht="13">
      <c r="A357" s="101" t="str">
        <f ca="1">IFERROR(__xludf.DUMMYFUNCTION("""COMPUTED_VALUE"""),"Не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т"&amp;"рудоспособного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2"&amp;"024 году – не менее 70 процентов лиц старше трудоспособного возраста.")</f>
        <v>Не менее 70 процентов лиц старше трудоспособного возраста охвачены профилактическими осмотрами и диспансеризацией к концу 2024 года: 
 в 2019 году не менее 23 процентов лиц старше трудоспособного возраста;
 в 2020 году – не менее 28 процентов лиц старше трудоспособного возраста;
 в 2021 году – не менее 34 процентов лиц старше трудоспособного возраста;
 в 2022 году – не менее 55,7 процентов лиц старше трудоспособного возраста;
 в 2023 году – не менее 65,3 процентов лиц старше трудоспособного возраста;
 в 2024 году – не менее 70 процентов лиц старше трудоспособного возраста.</v>
      </c>
      <c r="B357" s="101" t="str">
        <f ca="1">IFERROR(__xludf.DUMMYFUNCTION("""COMPUTED_VALUE"""),"индикатор")</f>
        <v>индикатор</v>
      </c>
    </row>
    <row r="358" spans="1:2" ht="13">
      <c r="A358" s="101" t="str">
        <f ca="1">IFERROR(__xludf.DUMMYFUNCTION("""COMPUTED_VALUE"""),"Не менее 90 процентов лиц старше трудоспособного возраста, у которых выявлены заболевания и патологические состояния, находятся под диспансерным наблюдением к концу 2024 года")</f>
        <v>Не менее 90 процентов лиц старше трудоспособного возраста, у которых выявлены заболевания и патологические состояния, находятся под диспансерным наблюдением к концу 2024 года</v>
      </c>
      <c r="B358" s="101" t="str">
        <f ca="1">IFERROR(__xludf.DUMMYFUNCTION("""COMPUTED_VALUE"""),"индикатор")</f>
        <v>индикатор</v>
      </c>
    </row>
    <row r="359" spans="1:2" ht="13">
      <c r="A359" s="101" t="str">
        <f ca="1">IFERROR(__xludf.DUMMYFUNCTION("""COMPUTED_VALUE"""),"Во всех субъектах Российской Федерации созданы региональные гериатрические центры и геронтологические отделения, в которых помощь к концу 2024 года получили не менее 160,0 тыс. граждан старше трудоспособного возраста")</f>
        <v>Во всех субъектах Российской Федерации созданы региональные гериатрические центры и геронтологические отделения, в которых помощь к концу 2024 года получили не менее 160,0 тыс. граждан старше трудоспособного возраста</v>
      </c>
      <c r="B359" s="101" t="str">
        <f ca="1">IFERROR(__xludf.DUMMYFUNCTION("""COMPUTED_VALUE"""),"индикатор")</f>
        <v>индикатор</v>
      </c>
    </row>
    <row r="360" spans="1:2" ht="13">
      <c r="A360" s="101" t="str">
        <f ca="1">IFERROR(__xludf.DUMMYFUNCTION("""COMPUTED_VALUE"""),"Созданы региональные гериатрические центры и геронтологические отделения в 2019 году в 7 субъектах Российской Федерации, в 2020 году - в 68 субъектах Российской Федерации, в 2021 году - в 70 субъектах Российской Федерации, в 2022 году - в 75 субъектах Рос"&amp;"сийской Федерации, в 2023 году - в 80 субъектах Российской Федерации, в 2024 году - в 85 субъектах Российской Федерации")</f>
        <v>Созданы региональные гериатрические центры и геронтологические отделения в 2019 году в 7 субъектах Российской Федерации, в 2020 году - в 68 субъектах Российской Федерации, в 2021 году - в 70 субъектах Российской Федерации, в 2022 году - в 75 субъектах Российской Федерации, в 2023 году - в 80 субъектах Российской Федерации, в 2024 году - в 85 субъектах Российской Федерации</v>
      </c>
      <c r="B360" s="101" t="str">
        <f ca="1">IFERROR(__xludf.DUMMYFUNCTION("""COMPUTED_VALUE"""),"индикатор")</f>
        <v>индикатор</v>
      </c>
    </row>
    <row r="361" spans="1:2" ht="13">
      <c r="A361" s="101" t="str">
        <f ca="1">IFERROR(__xludf.DUMMYFUNCTION("""COMPUTED_VALUE"""),"Обеспечено ежегодно не менее 2,5 миллионов просмотров телевизионных и радиопрограмм, телевизионных документальных фильмов, Интернет-сайтов, направленных на поддержку и повышение качества жизни граждан старшего поколения")</f>
        <v>Обеспечено ежегодно не менее 2,5 миллионов просмотров телевизионных и радиопрограмм, телевизионных документальных фильмов, Интернет-сайтов, направленных на поддержку и повышение качества жизни граждан старшего поколения</v>
      </c>
      <c r="B361" s="101" t="str">
        <f ca="1">IFERROR(__xludf.DUMMYFUNCTION("""COMPUTED_VALUE"""),"индикатор")</f>
        <v>индикатор</v>
      </c>
    </row>
    <row r="362" spans="1:2" ht="13">
      <c r="A362" s="101" t="str">
        <f ca="1">IFERROR(__xludf.DUMMYFUNCTION("""COMPUTED_VALUE"""),"Ежегодный тираж периодических печатных изданий, реализовавших проекты, направленные на поддержку и повышение качества жизни граждан старшего поколения, составил не менее 500 тысяч экземпляров.")</f>
        <v>Ежегодный тираж периодических печатных изданий, реализовавших проекты, направленные на поддержку и повышение качества жизни граждан старшего поколения, составил не менее 500 тысяч экземпляров.</v>
      </c>
      <c r="B362" s="101" t="str">
        <f ca="1">IFERROR(__xludf.DUMMYFUNCTION("""COMPUTED_VALUE"""),"индикатор")</f>
        <v>индикатор</v>
      </c>
    </row>
    <row r="363" spans="1:2" ht="13">
      <c r="A363" s="101" t="str">
        <f ca="1">IFERROR(__xludf.DUMMYFUNCTION("""COMPUTED_VALUE"""),"Не менее 95 процентов лиц старше трудоспособного возраста из групп риска, проживающих в организациях социального обслуживания, прошли к концу 2024 года вакцинацию против пневмококковой инфекции")</f>
        <v>Не менее 95 процентов лиц старше трудоспособного возраста из групп риска, проживающих в организациях социального обслуживания, прошли к концу 2024 года вакцинацию против пневмококковой инфекции</v>
      </c>
      <c r="B363" s="101" t="str">
        <f ca="1">IFERROR(__xludf.DUMMYFUNCTION("""COMPUTED_VALUE"""),"индикатор")</f>
        <v>индикатор</v>
      </c>
    </row>
    <row r="364" spans="1:2" ht="13">
      <c r="A364" s="101" t="str">
        <f ca="1">IFERROR(__xludf.DUMMYFUNCTION("""COMPUTED_VALUE"""),"Разработаны и внедрены в практику клинические рекомендации по ведению 6 наиболее распространенных заболеваний, связанных с возрастом")</f>
        <v>Разработаны и внедрены в практику клинические рекомендации по ведению 6 наиболее распространенных заболеваний, связанных с возрастом</v>
      </c>
      <c r="B364" s="101" t="str">
        <f ca="1">IFERROR(__xludf.DUMMYFUNCTION("""COMPUTED_VALUE"""),"индикатор")</f>
        <v>индикатор</v>
      </c>
    </row>
    <row r="365" spans="1:2" ht="13">
      <c r="A365" s="101" t="str">
        <f ca="1">IFERROR(__xludf.DUMMYFUNCTION("""COMPUTED_VALUE"""),"Не менее 12 субъектов Российской Федерации, нарастающим итогом в 2019 году участвуют в пилотном проекте по созданию системы долговременного ухода за гражданами пожилого возраста и инвалидами, включающей сбалансированные социальное обслуживание и медицинск"&amp;"ую помощь на дому, в полустационарной и стационарной форме с привлечением патронажной службы, а также поддержку семейного ухода 85 субъектов Российской Федерации, нарастающим итогом, 2020 год – не менее 18 субъектов Российской Федерации, 2021 год – не мен"&amp;"ее 24 субъектов Российской Федерации, с 2022 - 85 субъектов Российской Федерации участвуют в создании системы долговременного ухода")</f>
        <v>Не менее 12 субъектов Российской Федерации, нарастающим итогом в 2019 году участвуют в пилотном проекте по созданию системы долговременного ухода за гражданами пожилого возраста и инвалидами, включающей сбалансированные социальное обслуживание и медицинскую помощь на дому, в полустационарной и стационарной форме с привлечением патронажной службы, а также поддержку семейного ухода 85 субъектов Российской Федерации, нарастающим итогом, 2020 год – не менее 18 субъектов Российской Федерации, 2021 год – не менее 24 субъектов Российской Федерации, с 2022 - 85 субъектов Российской Федерации участвуют в создании системы долговременного ухода</v>
      </c>
      <c r="B365" s="101" t="str">
        <f ca="1">IFERROR(__xludf.DUMMYFUNCTION("""COMPUTED_VALUE"""),"индикатор")</f>
        <v>индикатор</v>
      </c>
    </row>
    <row r="366" spans="1:2" ht="13">
      <c r="A366" s="101" t="str">
        <f ca="1">IFERROR(__xludf.DUMMYFUNCTION("""COMPUTED_VALUE"""),"В 2019 году 8 процентов лиц старше трудоспособного возраста, признанных нуждающимися в социальном обслуживании, охвачены системой долговременного ухода в 12 пилотных регионах;
 в 2020 году - 12 процентов лиц старше трудоспособного возраста, признанных нуж"&amp;"дающимися в социальном обслуживании, охвачены системой долговременного ухода в 18 пилотных регионах;
 в 2021 году - 16 процентов лиц старше трудоспособного возраста, признанных нуждающимися в социальном обслуживании, охвачены системой долговременного уход"&amp;"а в 24 пилотных регионах; 
 в 2022 году - 100 процентов лиц старше трудоспособного возраста, признанных нуждающимися в социальном обслуживании, охвачены системой долговременного ухода в 85 регионах.")</f>
        <v>В 2019 году 8 процентов лиц старше трудоспособного возраста, признанных нуждающимися в социальном обслуживании, охвачены системой долговременного ухода в 12 пилотных регионах;
 в 2020 году - 12 процентов лиц старше трудоспособного возраста, признанных нуждающимися в социальном обслуживании, охвачены системой долговременного ухода в 18 пилотных регионах;
 в 2021 году - 16 процентов лиц старше трудоспособного возраста, признанных нуждающимися в социальном обслуживании, охвачены системой долговременного ухода в 24 пилотных регионах; 
 в 2022 году - 100 процентов лиц старше трудоспособного возраста, признанных нуждающимися в социальном обслуживании, охвачены системой долговременного ухода в 85 регионах.</v>
      </c>
      <c r="B366" s="101" t="str">
        <f ca="1">IFERROR(__xludf.DUMMYFUNCTION("""COMPUTED_VALUE"""),"индикатор")</f>
        <v>индикатор</v>
      </c>
    </row>
    <row r="367" spans="1:2" ht="13">
      <c r="A367" s="101" t="str">
        <f ca="1">IFERROR(__xludf.DUMMYFUNCTION("""COMPUTED_VALUE"""),"Софинансирование за счет средств федерального бюджета программ субъектов Российской Федерации, направленных на обеспечение безопасных и комфортных условий предоставления социальных услуг в сфере социального обслуживания (в 2019 – в 17 субъектах Российской"&amp;" Федерации, 2020 – в 25 субъекта Российской Федерации, 2021 – в 24 субъектах Российской Федерации, 2022 – в 24 субъектах Российской Федерации, 2023 – в 24 субъектах Российской Федерации, 2024 – в 26 субъектах Российской Федерации)")</f>
        <v>Софинансирование за счет средств федерального бюджета программ субъектов Российской Федерации, направленных на обеспечение безопасных и комфортных условий предоставления социальных услуг в сфере социального обслуживания (в 2019 – в 17 субъектах Российской Федерации, 2020 – в 25 субъекта Российской Федерации, 2021 – в 24 субъектах Российской Федерации, 2022 – в 24 субъектах Российской Федерации, 2023 – в 24 субъектах Российской Федерации, 2024 – в 26 субъектах Российской Федерации)</v>
      </c>
      <c r="B367" s="101" t="str">
        <f ca="1">IFERROR(__xludf.DUMMYFUNCTION("""COMPUTED_VALUE"""),"индикатор")</f>
        <v>индикатор</v>
      </c>
    </row>
    <row r="368" spans="1:2" ht="13">
      <c r="A368" s="101" t="str">
        <f ca="1">IFERROR(__xludf.DUMMYFUNCTION("""COMPUTED_VALUE"""),"Удельный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 увеличился до 19,1 процентов")</f>
        <v>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 увеличился до 19,1 процентов</v>
      </c>
      <c r="B368" s="101" t="str">
        <f ca="1">IFERROR(__xludf.DUMMYFUNCTION("""COMPUTED_VALUE"""),"индикатор")</f>
        <v>индикатор</v>
      </c>
    </row>
    <row r="369" spans="1:2" ht="13">
      <c r="A369" s="101" t="str">
        <f ca="1">IFERROR(__xludf.DUMMYFUNCTION("""COMPUTED_VALUE"""),"Прирост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объ"&amp;"ект,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п"&amp;"лощадью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86,"&amp;"276 тыс. кв. м, для размещения 2520 граждан.
 В 2024 году - 100%, введено в эксплуатацию 29 объектов, общей площадью 60,192 тыс. кв. м, для размещения 3971 граждан.")</f>
        <v>Прирост технической готовности объектов капитального строительства стационарных организаций социального обслуживания субъектов Российской Федерации, в которых начато строительство (реконструкция) в 2019 году, составляет 31,52%, введен в эксплуатацию 1 объект, общей площадью 679,3 кв. м., для размещения 53 граждан.
 В 2020 году - 34,10%, введено в эксплуатацию 15 объектов, общей площадью 45,646 тыс. кв. м, для размещения более 1325 граждан.
 В 2021 году - 27,11%, введено в эксплуатацию 11 объектов, общей площадью 78,387 тыс. кв. м., для размещения 1435 граждан.
 В 2022 году - 43,12%, введено в эксплуатацию 13 объектов, общей площадью 91,130 тыс. кв. м, для размещения 1678 граждан.
 В 2023 году - 59,83%, введено в эксплуатацию 22 объекта, общей площадью 86,276 тыс. кв. м, для размещения 2520 граждан.
 В 2024 году - 100%, введено в эксплуатацию 29 объектов, общей площадью 60,192 тыс. кв. м, для размещения 3971 граждан.</v>
      </c>
      <c r="B369" s="101" t="str">
        <f ca="1">IFERROR(__xludf.DUMMYFUNCTION("""COMPUTED_VALUE"""),"индикатор")</f>
        <v>индикатор</v>
      </c>
    </row>
    <row r="370" spans="1:2" ht="13">
      <c r="A370" s="101" t="str">
        <f ca="1">IFERROR(__xludf.DUMMYFUNCTION("""COMPUTED_VALUE"""),"Численность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т"&amp;"ысяч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также"&amp;"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f>
        <v>Численность прошедших профессиональное обучение и дополнительное профессиональное образование при содействии органов службы занятости в субъектах Российской Федерации в 2019 году - не менее 50 тысяч лиц предпенсионного возраста, 2020 году - не менее 100 тысяч лиц в возрасте 50-ти лет и старше, а также лиц предпенсионного возраста, 2021 году - не менее 150 тысяч лиц в возрасте 50-ти лет и старше, а также лиц предпенсионного возраста, 2022 году - не менее 200 тысяч лиц в возрасте 50-ти лет и старше, а также лиц предпенсионного возраста, 2023 году – не менее 250 тысяч лиц в возрасте 50-ти лет и старше, а также лиц предпенсионного возраста, 2024 году - не менее 300 тысяч лиц в возрасте 50-ти лет и старше, а также лиц предпенсионного возраста.</v>
      </c>
      <c r="B370" s="101" t="str">
        <f ca="1">IFERROR(__xludf.DUMMYFUNCTION("""COMPUTED_VALUE"""),"индикатор")</f>
        <v>индикатор</v>
      </c>
    </row>
    <row r="371" spans="1:2" ht="13">
      <c r="A371" s="101" t="str">
        <f ca="1">IFERROR(__xludf.DUMMYFUNCTION("""COMPUTED_VALUE"""),"Прошли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году"&amp;"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возраста"&amp;",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возрасте"&amp;" 50-ти лет и старше, а также лиц предпенсионного возраста.")</f>
        <v>Прошли профессиональное обучение и дополнительное профессиональное образование в субъектах Российской Федерации при участии союза "Агентство развития профессиональных сообществ и рабочих кадров "Молодые профессионалы" (Ворлдскиллс Россия)" в 2019 году - не менее 25 тысяч лиц предпенсионного возраста, 2020 году - не менее 50 тысяч лиц в возрасте 50-ти лет и старше, а также лиц предпенсионного возраста, 2021 году - не менее 75 тысяч лиц в возрасте 50-ти лет и старше, а также лиц предпенсионного возраста, 2022 году - не менее 100 тысяч лиц в возрасте 50-ти лет и старше, а также лиц предпенсионного возраста, 2023 году – не менее 125 тысяч лиц в возрасте 50-ти лет и старше, а также лиц предпенсионного возраста, 2024 году - не менее 150 тысяч лиц в возрасте 50-ти лет и старше, а также лиц предпенсионного возраста.</v>
      </c>
      <c r="B371" s="101" t="str">
        <f ca="1">IFERROR(__xludf.DUMMYFUNCTION("""COMPUTED_VALUE"""),"индикатор")</f>
        <v>индикатор</v>
      </c>
    </row>
    <row r="372" spans="1:2" ht="13">
      <c r="A372" s="101" t="str">
        <f ca="1">IFERROR(__xludf.DUMMYFUNCTION("""COMPUTED_VALUE"""),"Обеспечен доступ населения к отечественным пищевым продуктам, способствующим устранению дефицита микро- и макронутриентов, в том числе усилен лабораторный контроль за показателями качества пищевой продукции и соответствия ее принципам здорового питания")</f>
        <v>Обеспечен доступ населения к отечественным пищевым продуктам, способствующим устранению дефицита микро- и макронутриентов, в том числе усилен лабораторный контроль за показателями качества пищевой продукции и соответствия ее принципам здорового питания</v>
      </c>
      <c r="B372" s="101" t="str">
        <f ca="1">IFERROR(__xludf.DUMMYFUNCTION("""COMPUTED_VALUE"""),"индикатор")</f>
        <v>индикатор</v>
      </c>
    </row>
    <row r="373" spans="1:2" ht="13">
      <c r="A373" s="101" t="str">
        <f ca="1">IFERROR(__xludf.DUMMYFUNCTION("""COMPUTED_VALUE"""),"На базе учреждений Роспотребнадзора созданы современные испытательные лабораторные центры, укомплектованные необходимым оборудованием для определения показателей качества пищевой продукции, идентификации биологически активных веществ, пищевых добавок в со"&amp;"ответствии с международными методиками и методами, включая Комиссию ФАО/ВОЗ по пищевым стандартам ""Кодекс Алиментариус""")</f>
        <v>На базе учреждений Роспотребнадзора созданы современные испытательные лабораторные центры, укомплектованные необходимым оборудованием для определения показателей качества пищевой продукции, идентификации биологически активных веществ, пищевых добавок в соответствии с международными методиками и методами, включая Комиссию ФАО/ВОЗ по пищевым стандартам "Кодекс Алиментариус"</v>
      </c>
      <c r="B373" s="101" t="str">
        <f ca="1">IFERROR(__xludf.DUMMYFUNCTION("""COMPUTED_VALUE"""),"индикатор")</f>
        <v>индикатор</v>
      </c>
    </row>
    <row r="374" spans="1:2" ht="13">
      <c r="A374" s="101" t="str">
        <f ca="1">IFERROR(__xludf.DUMMYFUNCTION("""COMPUTED_VALUE"""),"Созданы 5 научно-методических образовательных центров по вопросам здорового питания в регионах на базе учреждений Роспотребнадзора и ФГБУН ""ФИЦ питания и биотехнологии"".")</f>
        <v>Созданы 5 научно-методических образовательных центров по вопросам здорового питания в регионах на базе учреждений Роспотребнадзора и ФГБУН "ФИЦ питания и биотехнологии".</v>
      </c>
      <c r="B374" s="101" t="str">
        <f ca="1">IFERROR(__xludf.DUMMYFUNCTION("""COMPUTED_VALUE"""),"индикатор")</f>
        <v>индикатор</v>
      </c>
    </row>
    <row r="375" spans="1:2" ht="13">
      <c r="A375" s="101" t="str">
        <f ca="1">IFERROR(__xludf.DUMMYFUNCTION("""COMPUTED_VALUE"""),"Муниципальные образования внедрили муниципальные программы общественного здоровья")</f>
        <v>Муниципальные образования внедрили муниципальные программы общественного здоровья</v>
      </c>
      <c r="B375" s="101" t="str">
        <f ca="1">IFERROR(__xludf.DUMMYFUNCTION("""COMPUTED_VALUE"""),"индикатор")</f>
        <v>индикатор</v>
      </c>
    </row>
    <row r="376" spans="1:2" ht="13">
      <c r="A376" s="101" t="str">
        <f ca="1">IFERROR(__xludf.DUMMYFUNCTION("""COMPUTED_VALUE"""),"Субъекты Российской Федерации обеспечили внедрение разработанных научно-обоснованных адресных образовательных и просветительских программ по вопросам здорового питания. Увеличен охват граждан адресными образовательными и просветительскими программами по в"&amp;"опросам здорового питания")</f>
        <v>Субъекты Российской Федерации обеспечили внедрение разработанных научно-обоснованных адресных образовательных и просветительских программ по вопросам здорового питания. Увеличен охват граждан адресными образовательными и просветительскими программами по вопросам здорового питания</v>
      </c>
      <c r="B376" s="101" t="str">
        <f ca="1">IFERROR(__xludf.DUMMYFUNCTION("""COMPUTED_VALUE"""),"индикатор")</f>
        <v>индикатор</v>
      </c>
    </row>
    <row r="377" spans="1:2" ht="13">
      <c r="A377" s="101" t="str">
        <f ca="1">IFERROR(__xludf.DUMMYFUNCTION("""COMPUTED_VALUE"""),"Доля аудитории граждан старше 12 лет, охваченной коммуникационной кампанией по основным каналам: телевидение, радио и в информационно-телекоммуникационной сети «Интернет»")</f>
        <v>Доля аудитории граждан старше 12 лет, охваченной коммуникационной кампанией по основным каналам: телевидение, радио и в информационно-телекоммуникационной сети «Интернет»</v>
      </c>
      <c r="B377" s="101" t="str">
        <f ca="1">IFERROR(__xludf.DUMMYFUNCTION("""COMPUTED_VALUE"""),"индикатор")</f>
        <v>индикатор</v>
      </c>
    </row>
    <row r="378" spans="1:2" ht="13">
      <c r="A378" s="101" t="str">
        <f ca="1">IFERROR(__xludf.DUMMYFUNCTION("""COMPUTED_VALUE"""),"Обеспечено не менее 150 тысяч просмотров телевизионных и радиопрограмм, телевизионных документальных фильмов, Интернет-сайтов, направленных на пропаганду здорового образа жизни, физической культуры, спорта и здорового питания")</f>
        <v>Обеспечено не менее 150 тысяч просмотров телевизионных и радиопрограмм, телевизионных документальных фильмов, Интернет-сайтов, направленных на пропаганду здорового образа жизни, физической культуры, спорта и здорового питания</v>
      </c>
      <c r="B378" s="101" t="str">
        <f ca="1">IFERROR(__xludf.DUMMYFUNCTION("""COMPUTED_VALUE"""),"индикатор")</f>
        <v>индикатор</v>
      </c>
    </row>
    <row r="379" spans="1:2" ht="13">
      <c r="A379" s="101" t="str">
        <f ca="1">IFERROR(__xludf.DUMMYFUNCTION("""COMPUTED_VALUE"""),"Созданы не менее 21 рекламно-информационных материалов по вопросам здорового питания, включая для демонстрации (передачи) по телевидению, радио и в информационно-телекоммуникационной сети ""Интернет""")</f>
        <v>Созданы не менее 21 рекламно-информационных материалов по вопросам здорового питания, включая для демонстрации (передачи) по телевидению, радио и в информационно-телекоммуникационной сети "Интернет"</v>
      </c>
      <c r="B379" s="101" t="str">
        <f ca="1">IFERROR(__xludf.DUMMYFUNCTION("""COMPUTED_VALUE"""),"индикатор")</f>
        <v>индикатор</v>
      </c>
    </row>
    <row r="380" spans="1:2" ht="13">
      <c r="A380" s="101" t="str">
        <f ca="1">IFERROR(__xludf.DUMMYFUNCTION("""COMPUTED_VALUE"""),"Созданы не менее 15 видов печатной продукции по вопросам здорового питания (журналы, брошюры, буклеты, плакаты).")</f>
        <v>Созданы не менее 15 видов печатной продукции по вопросам здорового питания (журналы, брошюры, буклеты, плакаты).</v>
      </c>
      <c r="B380" s="101" t="str">
        <f ca="1">IFERROR(__xludf.DUMMYFUNCTION("""COMPUTED_VALUE"""),"индикатор")</f>
        <v>индикатор</v>
      </c>
    </row>
    <row r="381" spans="1:2" ht="13">
      <c r="A381" s="101" t="str">
        <f ca="1">IFERROR(__xludf.DUMMYFUNCTION("""COMPUTED_VALUE"""),"Обеспечено не менее 5,9 миллионов демонстраций (передач) рекламно-информационных материалов по телевидению, радио и в информационно-телекоммуникационной сети ""Интернет"" не менее 21 рекламно-информационных материалов по вопросам здорового питания")</f>
        <v>Обеспечено не менее 5,9 миллионов демонстраций (передач) рекламно-информационных материалов по телевидению, радио и в информационно-телекоммуникационной сети "Интернет" не менее 21 рекламно-информационных материалов по вопросам здорового питания</v>
      </c>
      <c r="B381" s="101" t="str">
        <f ca="1">IFERROR(__xludf.DUMMYFUNCTION("""COMPUTED_VALUE"""),"индикатор")</f>
        <v>индикатор</v>
      </c>
    </row>
    <row r="382" spans="1:2" ht="13">
      <c r="A382" s="101" t="str">
        <f ca="1">IFERROR(__xludf.DUMMYFUNCTION("""COMPUTED_VALUE"""),"Субъекты Российской Федерации обеспечены печатной продукцией по вопросам здорового питания (журналы, брошюры, буклеты, плакаты)")</f>
        <v>Субъекты Российской Федерации обеспечены печатной продукцией по вопросам здорового питания (журналы, брошюры, буклеты, плакаты)</v>
      </c>
      <c r="B382" s="101" t="str">
        <f ca="1">IFERROR(__xludf.DUMMYFUNCTION("""COMPUTED_VALUE"""),"индикатор")</f>
        <v>индикатор</v>
      </c>
    </row>
    <row r="383" spans="1:2" ht="13">
      <c r="A383" s="101" t="str">
        <f ca="1">IFERROR(__xludf.DUMMYFUNCTION("""COMPUTED_VALUE"""),"Внедрены корпоративные программы, содержащие наилучшие практики по укреплению здоровья работников")</f>
        <v>Внедрены корпоративные программы, содержащие наилучшие практики по укреплению здоровья работников</v>
      </c>
      <c r="B383" s="101" t="str">
        <f ca="1">IFERROR(__xludf.DUMMYFUNCTION("""COMPUTED_VALUE"""),"индикатор")</f>
        <v>индикатор</v>
      </c>
    </row>
    <row r="384" spans="1:2" ht="13">
      <c r="A384" s="101" t="str">
        <f ca="1">IFERROR(__xludf.DUMMYFUNCTION("""COMPUTED_VALUE"""),"Тираж периодических печатных изданий, реализовавших проекты, направленные на пропаганду здорового образа жизни, физической культуры, спорта и здорового питания, составил не менее 50 тысяч экземпляров.")</f>
        <v>Тираж периодических печатных изданий, реализовавших проекты, направленные на пропаганду здорового образа жизни, физической культуры, спорта и здорового питания, составил не менее 50 тысяч экземпляров.</v>
      </c>
      <c r="B384" s="101" t="str">
        <f ca="1">IFERROR(__xludf.DUMMYFUNCTION("""COMPUTED_VALUE"""),"индикатор")</f>
        <v>индикатор</v>
      </c>
    </row>
    <row r="385" spans="1:2" ht="13">
      <c r="A385" s="101" t="str">
        <f ca="1">IFERROR(__xludf.DUMMYFUNCTION("""COMPUTED_VALUE"""),"Проведены физкультурные и комплексные физкультурные мероприятия для всех категорий и групп населения")</f>
        <v>Проведены физкультурные и комплексные физкультурные мероприятия для всех категорий и групп населения</v>
      </c>
      <c r="B385" s="101" t="str">
        <f ca="1">IFERROR(__xludf.DUMMYFUNCTION("""COMPUTED_VALUE"""),"индикатор")</f>
        <v>индикатор</v>
      </c>
    </row>
    <row r="386" spans="1:2" ht="13">
      <c r="A386" s="101" t="str">
        <f ca="1">IFERROR(__xludf.DUMMYFUNCTION("""COMPUTED_VALUE"""),"Проведены всероссийские мероприятия и изготовлена медиапродукция по пропаганде физической культуры и спорта")</f>
        <v>Проведены всероссийские мероприятия и изготовлена медиапродукция по пропаганде физической культуры и спорта</v>
      </c>
      <c r="B386" s="101" t="str">
        <f ca="1">IFERROR(__xludf.DUMMYFUNCTION("""COMPUTED_VALUE"""),"индикатор")</f>
        <v>индикатор</v>
      </c>
    </row>
    <row r="387" spans="1:2" ht="13">
      <c r="A387" s="101" t="str">
        <f ca="1">IFERROR(__xludf.DUMMYFUNCTION("""COMPUTED_VALUE"""),"В организации спортивной подготовки, в том числе спортивные школы по хоккею, поставлено новое спортивное оборудование и инвентарь")</f>
        <v>В организации спортивной подготовки, в том числе спортивные школы по хоккею, поставлено новое спортивное оборудование и инвентарь</v>
      </c>
      <c r="B387" s="101" t="str">
        <f ca="1">IFERROR(__xludf.DUMMYFUNCTION("""COMPUTED_VALUE"""),"индикатор")</f>
        <v>индикатор</v>
      </c>
    </row>
    <row r="388" spans="1:2" ht="13">
      <c r="A388" s="101" t="str">
        <f ca="1">IFERROR(__xludf.DUMMYFUNCTION("""COMPUTED_VALUE"""),"Все организации спортивной подготовки предоставляют услуги населению в соответствии с федеральными стандартами спортивной подготовки")</f>
        <v>Все организации спортивной подготовки предоставляют услуги населению в соответствии с федеральными стандартами спортивной подготовки</v>
      </c>
      <c r="B388" s="101" t="str">
        <f ca="1">IFERROR(__xludf.DUMMYFUNCTION("""COMPUTED_VALUE"""),"индикатор")</f>
        <v>индикатор</v>
      </c>
    </row>
    <row r="389" spans="1:2" ht="13">
      <c r="A389" s="101" t="str">
        <f ca="1">IFERROR(__xludf.DUMMYFUNCTION("""COMPUTED_VALUE"""),"Подготовлены новые кадры и проведено повышение квалификации специалистов в сфере физической культуры и спорта")</f>
        <v>Подготовлены новые кадры и проведено повышение квалификации специалистов в сфере физической культуры и спорта</v>
      </c>
      <c r="B389" s="101" t="str">
        <f ca="1">IFERROR(__xludf.DUMMYFUNCTION("""COMPUTED_VALUE"""),"индикатор")</f>
        <v>индикатор</v>
      </c>
    </row>
    <row r="390" spans="1:2" ht="13">
      <c r="A390" s="101" t="str">
        <f ca="1">IFERROR(__xludf.DUMMYFUNCTION("""COMPUTED_VALUE"""),"Проведены спортивные соревнования в системе подготовки спортивного резерва")</f>
        <v>Проведены спортивные соревнования в системе подготовки спортивного резерва</v>
      </c>
      <c r="B390" s="101" t="str">
        <f ca="1">IFERROR(__xludf.DUMMYFUNCTION("""COMPUTED_VALUE"""),"индикатор")</f>
        <v>индикатор</v>
      </c>
    </row>
    <row r="391" spans="1:2" ht="13">
      <c r="A391" s="101" t="str">
        <f ca="1">IFERROR(__xludf.DUMMYFUNCTION("""COMPUTED_VALUE"""),"Поставлены комплекты спортивного оборудования (малые спортивные формы и футбольные поля)")</f>
        <v>Поставлены комплекты спортивного оборудования (малые спортивные формы и футбольные поля)</v>
      </c>
      <c r="B391" s="101" t="str">
        <f ca="1">IFERROR(__xludf.DUMMYFUNCTION("""COMPUTED_VALUE"""),"индикатор")</f>
        <v>индикатор</v>
      </c>
    </row>
    <row r="392" spans="1:2" ht="13">
      <c r="A392" s="101" t="str">
        <f ca="1">IFERROR(__xludf.DUMMYFUNCTION("""COMPUTED_VALUE"""),"Некоммерческими организациями реализованы проекты в сфере физической культуры и спорта")</f>
        <v>Некоммерческими организациями реализованы проекты в сфере физической культуры и спорта</v>
      </c>
      <c r="B392" s="101" t="str">
        <f ca="1">IFERROR(__xludf.DUMMYFUNCTION("""COMPUTED_VALUE"""),"индикатор")</f>
        <v>индикатор</v>
      </c>
    </row>
    <row r="393" spans="1:2" ht="13">
      <c r="A393" s="101" t="str">
        <f ca="1">IFERROR(__xludf.DUMMYFUNCTION("""COMPUTED_VALUE"""),"Проведена Специальная олимпиада России для инвалидов с умственной отсталостью")</f>
        <v>Проведена Специальная олимпиада России для инвалидов с умственной отсталостью</v>
      </c>
      <c r="B393" s="101" t="str">
        <f ca="1">IFERROR(__xludf.DUMMYFUNCTION("""COMPUTED_VALUE"""),"индикатор")</f>
        <v>индикатор</v>
      </c>
    </row>
    <row r="394" spans="1:2" ht="13">
      <c r="A394" s="101" t="str">
        <f ca="1">IFERROR(__xludf.DUMMYFUNCTION("""COMPUTED_VALUE"""),"Проведены физкультурные мероприятия, в том числе направленные на совершенствование физической подготовки сотрудников правоохранительных органов и органов безопасности")</f>
        <v>Проведены физкультурные мероприятия, в том числе направленные на совершенствование физической подготовки сотрудников правоохранительных органов и органов безопасности</v>
      </c>
      <c r="B394" s="101" t="str">
        <f ca="1">IFERROR(__xludf.DUMMYFUNCTION("""COMPUTED_VALUE"""),"индикатор")</f>
        <v>индикатор</v>
      </c>
    </row>
    <row r="395" spans="1:2" ht="13">
      <c r="A395" s="101" t="str">
        <f ca="1">IFERROR(__xludf.DUMMYFUNCTION("""COMPUTED_VALUE"""),"Введены в эксплуатацию плоскостные спортивные сооружения в сельских территориях")</f>
        <v>Введены в эксплуатацию плоскостные спортивные сооружения в сельских территориях</v>
      </c>
      <c r="B395" s="101" t="str">
        <f ca="1">IFERROR(__xludf.DUMMYFUNCTION("""COMPUTED_VALUE"""),"индикатор")</f>
        <v>индикатор</v>
      </c>
    </row>
    <row r="396" spans="1:2" ht="13">
      <c r="A396" s="101" t="str">
        <f ca="1">IFERROR(__xludf.DUMMYFUNCTION("""COMPUTED_VALUE"""),"Построены и введены в эксплуатацию объекты спорта в рамках реализации федеральной целевой программы ""Развитие физической культуры и спорта в Российской Федерации на 2016-2020 годы""")</f>
        <v>Построены и введены в эксплуатацию объекты спорта в рамках реализации федеральной целевой программы "Развитие физической культуры и спорта в Российской Федерации на 2016-2020 годы"</v>
      </c>
      <c r="B396" s="101" t="str">
        <f ca="1">IFERROR(__xludf.DUMMYFUNCTION("""COMPUTED_VALUE"""),"индикатор")</f>
        <v>индикатор</v>
      </c>
    </row>
    <row r="397" spans="1:2" ht="13">
      <c r="A397" s="101" t="str">
        <f ca="1">IFERROR(__xludf.DUMMYFUNCTION("""COMPUTED_VALUE"""),"Построены и введены в эксплуатацию объекты спорта региональной собственности")</f>
        <v>Построены и введены в эксплуатацию объекты спорта региональной собственности</v>
      </c>
      <c r="B397" s="101" t="str">
        <f ca="1">IFERROR(__xludf.DUMMYFUNCTION("""COMPUTED_VALUE"""),"индикатор")</f>
        <v>индикатор</v>
      </c>
    </row>
    <row r="398" spans="1:2" ht="13">
      <c r="A398" s="101" t="str">
        <f ca="1">IFERROR(__xludf.DUMMYFUNCTION("""COMPUTED_VALUE"""),"Построены,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f>
        <v>Построены, в том числе реконструированы объекты спорта в рамках государственной программы Российской Федерации "Развитие Северо-Кавказского федерального округа"</v>
      </c>
      <c r="B398" s="101" t="str">
        <f ca="1">IFERROR(__xludf.DUMMYFUNCTION("""COMPUTED_VALUE"""),"индикатор")</f>
        <v>индикатор</v>
      </c>
    </row>
    <row r="399" spans="1:2" ht="13">
      <c r="A399" s="101" t="str">
        <f ca="1">IFERROR(__xludf.DUMMYFUNCTION("""COMPUTED_VALUE"""),"Построен и введен в эксплуатацию детский спортивно-образовательный центр круглогодичного профиля в Калининградской области")</f>
        <v>Построен и введен в эксплуатацию детский спортивно-образовательный центр круглогодичного профиля в Калининградской области</v>
      </c>
      <c r="B399" s="101" t="str">
        <f ca="1">IFERROR(__xludf.DUMMYFUNCTION("""COMPUTED_VALUE"""),"индикатор")</f>
        <v>индикатор</v>
      </c>
    </row>
    <row r="400" spans="1:2" ht="13">
      <c r="A400" s="101" t="str">
        <f ca="1">IFERROR(__xludf.DUMMYFUNCTION("""COMPUTED_VALUE"""),"Построен и введен в эксплуатацию объект спорта в с. Ансалта (Республика Дагестан)")</f>
        <v>Построен и введен в эксплуатацию объект спорта в с. Ансалта (Республика Дагестан)</v>
      </c>
      <c r="B400" s="101" t="str">
        <f ca="1">IFERROR(__xludf.DUMMYFUNCTION("""COMPUTED_VALUE"""),"индикатор")</f>
        <v>индикатор</v>
      </c>
    </row>
    <row r="401" spans="1:2" ht="13">
      <c r="A401" s="101" t="str">
        <f ca="1">IFERROR(__xludf.DUMMYFUNCTION("""COMPUTED_VALUE"""),"В организации спортивной подготовки поставлено спортивное оборудование в рамках федеральной целевой программы ""Развитие физической культуры и спорта в Российской Федерации на 2016-2020 годы""")</f>
        <v>В организации спортивной подготовки поставлено спортивное оборудование в рамках федеральной целевой программы "Развитие физической культуры и спорта в Российской Федерации на 2016-2020 годы"</v>
      </c>
      <c r="B401" s="101" t="str">
        <f ca="1">IFERROR(__xludf.DUMMYFUNCTION("""COMPUTED_VALUE"""),"индикатор")</f>
        <v>индикатор</v>
      </c>
    </row>
    <row r="402" spans="1:2" ht="13">
      <c r="A402" s="101" t="str">
        <f ca="1">IFERROR(__xludf.DUMMYFUNCTION("""COMPUTED_VALUE"""),"В организации спортивной подготовки поставлены комплекты искусственных футбольных полей в рамках федеральной целевой программы ""Развитие физической культуры и спорта в Российской Федерации на 2016-2020 годы""")</f>
        <v>В организации спортивной подготовки поставлены комплекты искусственных футбольных полей в рамках федеральной целевой программы "Развитие физической культуры и спорта в Российской Федерации на 2016-2020 годы"</v>
      </c>
      <c r="B402" s="101" t="str">
        <f ca="1">IFERROR(__xludf.DUMMYFUNCTION("""COMPUTED_VALUE"""),"индикатор")</f>
        <v>индикатор</v>
      </c>
    </row>
    <row r="403" spans="1:2" ht="13">
      <c r="A403" s="101" t="str">
        <f ca="1">IFERROR(__xludf.DUMMYFUNCTION("""COMPUTED_VALUE"""),"Реализованы проекты государственно-частного партнерства по созданию объектов спорта в рамках федеральной целевой программы ""Развитие физической культуры и спорта в Российской Федерации на 2016-2020 годы""")</f>
        <v>Реализованы проекты государственно-частного партнерства по созданию объектов спорта в рамках федеральной целевой программы "Развитие физической культуры и спорта в Российской Федерации на 2016-2020 годы"</v>
      </c>
      <c r="B403" s="101" t="str">
        <f ca="1">IFERROR(__xludf.DUMMYFUNCTION("""COMPUTED_VALUE"""),"индикатор")</f>
        <v>индикатор</v>
      </c>
    </row>
    <row r="404" spans="1:2" ht="13">
      <c r="A404" s="101" t="str">
        <f ca="1">IFERROR(__xludf.DUMMYFUNCTION("""COMPUTED_VALUE"""),"Поставлены комплекты спортивного оборудования для спортивных площадок в Республику Крым и город федерального значения Севастополь 
 в рамках федеральной целевой программы ""Развитие физической культуры и спорта в Российской Федерации на 2016-2020 годы""")</f>
        <v>Поставлены комплекты спортивного оборудования для спортивных площадок в Республику Крым и город федерального значения Севастополь 
 в рамках федеральной целевой программы "Развитие физической культуры и спорта в Российской Федерации на 2016-2020 годы"</v>
      </c>
      <c r="B404" s="101" t="str">
        <f ca="1">IFERROR(__xludf.DUMMYFUNCTION("""COMPUTED_VALUE"""),"индикатор")</f>
        <v>индикатор</v>
      </c>
    </row>
    <row r="405" spans="1:2" ht="13">
      <c r="A405" s="101" t="str">
        <f ca="1">IFERROR(__xludf.DUMMYFUNCTION("""COMPUTED_VALUE"""),"Привлечено внебюджетных средств на создание спортивной инфраструктуры")</f>
        <v>Привлечено внебюджетных средств на создание спортивной инфраструктуры</v>
      </c>
      <c r="B405" s="101" t="str">
        <f ca="1">IFERROR(__xludf.DUMMYFUNCTION("""COMPUTED_VALUE"""),"индикатор")</f>
        <v>индикатор</v>
      </c>
    </row>
    <row r="406" spans="1:2" ht="13">
      <c r="A406" s="101" t="str">
        <f ca="1">IFERROR(__xludf.DUMMYFUNCTION("""COMPUTED_VALUE"""),"Размещение автоматических пунктов весогабаритного контроля транспортных средств на автомобильных дорогах федерального значения (накопленным итогом)")</f>
        <v>Размещение автоматических пунктов весогабаритного контроля транспортных средств на автомобильных дорогах федерального значения (накопленным итогом)</v>
      </c>
      <c r="B406" s="101" t="str">
        <f ca="1">IFERROR(__xludf.DUMMYFUNCTION("""COMPUTED_VALUE"""),"индикатор")</f>
        <v>индикатор</v>
      </c>
    </row>
    <row r="407" spans="1:2" ht="13">
      <c r="A407" s="101" t="str">
        <f ca="1">IFERROR(__xludf.DUMMYFUNCTION("""COMPUTED_VALUE"""),"Размещение автоматических пунктов весогабаритного контроля транспортных средств на автомобильных дорогах регионального или межмуниципального, местного значения (накопленным итогом)")</f>
        <v>Размещение автоматических пунктов весогабаритного контроля транспортных средств на автомобильных дорогах регионального или межмуниципального, местного значения (накопленным итогом)</v>
      </c>
      <c r="B407" s="101" t="str">
        <f ca="1">IFERROR(__xludf.DUMMYFUNCTION("""COMPUTED_VALUE"""),"индикатор")</f>
        <v>индикатор</v>
      </c>
    </row>
    <row r="408" spans="1:2" ht="13">
      <c r="A408" s="101" t="str">
        <f ca="1">IFERROR(__xludf.DUMMYFUNCTION("""COMPUTED_VALUE"""),"Утверждено не менее 130 стандартов и технических требований (накопленным итогом), в том числе: 
 - государственные стандарты и предварительные национальные стандарты - 80 штук; 
 - государственные стандарты и предварительные национальные стандарты (технич"&amp;"еские требования и правила проектирования) - 50 штук.")</f>
        <v>Утверждено не менее 130 стандартов и технических требований (накопленным итогом), в том числе: 
 - государственные стандарты и предварительные национальные стандарты - 80 штук; 
 - государственные стандарты и предварительные национальные стандарты (технические требования и правила проектирования) - 50 штук.</v>
      </c>
      <c r="B408" s="101" t="str">
        <f ca="1">IFERROR(__xludf.DUMMYFUNCTION("""COMPUTED_VALUE"""),"индикатор")</f>
        <v>индикатор</v>
      </c>
    </row>
    <row r="409" spans="1:2" ht="13">
      <c r="A409" s="101" t="str">
        <f ca="1">IFERROR(__xludf.DUMMYFUNCTION("""COMPUTED_VALUE"""),"Внедрение на автомобильных дорогах общего пользования интеллектуальных транспортных систем, ориентированных в том числе на обеспечение движения беспилотных транспортных средств (в соответствии с утвержденным перечнем участков автомобильных дорог, накоплен"&amp;"ным итогом)")</f>
        <v>Внедрение на автомобильных дорогах общего пользования интеллектуальных транспортных систем, ориентированных в том числе на обеспечение движения беспилотных транспортных средств (в соответствии с утвержденным перечнем участков автомобильных дорог, накопленным итогом)</v>
      </c>
      <c r="B409" s="101" t="str">
        <f ca="1">IFERROR(__xludf.DUMMYFUNCTION("""COMPUTED_VALUE"""),"индикатор")</f>
        <v>индикатор</v>
      </c>
    </row>
    <row r="410" spans="1:2" ht="13">
      <c r="A410" s="101" t="str">
        <f ca="1">IFERROR(__xludf.DUMMYFUNCTION("""COMPUTED_VALUE"""),"Внедрение интеллектуальных транспортных систем, ориентированных на применение энергосберегающих технологий освещения автомобильных дорог (в соответствии с утвержденным перечнем участков автомобильных дорог, накопленным итогом)")</f>
        <v>Внедрение интеллектуальных транспортных систем, ориентированных на применение энергосберегающих технологий освещения автомобильных дорог (в соответствии с утвержденным перечнем участков автомобильных дорог, накопленным итогом)</v>
      </c>
      <c r="B410" s="101" t="str">
        <f ca="1">IFERROR(__xludf.DUMMYFUNCTION("""COMPUTED_VALUE"""),"индикатор")</f>
        <v>индикатор</v>
      </c>
    </row>
    <row r="411" spans="1:2" ht="13">
      <c r="A411" s="101" t="str">
        <f ca="1">IFERROR(__xludf.DUMMYFUNCTION("""COMPUTED_VALUE"""),"Внедрение системы контроля за внесением платы при движении по платным автомобильным дорогам ""свободный поток"" на 2 пилотных участках")</f>
        <v>Внедрение системы контроля за внесением платы при движении по платным автомобильным дорогам "свободный поток" на 2 пилотных участках</v>
      </c>
      <c r="B411" s="101" t="str">
        <f ca="1">IFERROR(__xludf.DUMMYFUNCTION("""COMPUTED_VALUE"""),"индикатор")</f>
        <v>индикатор</v>
      </c>
    </row>
    <row r="412" spans="1:2" ht="13">
      <c r="A412" s="101" t="str">
        <f ca="1">IFERROR(__xludf.DUMMYFUNCTION("""COMPUTED_VALUE"""),"Увеличение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от базового количества 2017 года")</f>
        <v>Увеличение количества стационарных камер фотовидеофиксации нарушений правил дорожного движения на автомобильных дорогах федерального, регионального или межмуниципального, местного значения до 211% от базового количества 2017 года</v>
      </c>
      <c r="B412" s="101" t="str">
        <f ca="1">IFERROR(__xludf.DUMMYFUNCTION("""COMPUTED_VALUE"""),"индикатор")</f>
        <v>индикатор</v>
      </c>
    </row>
    <row r="413" spans="1:2" ht="13">
      <c r="A413" s="101" t="str">
        <f ca="1">IFERROR(__xludf.DUMMYFUNCTION("""COMPUTED_VALUE"""),"Внедрение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f>
        <v>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v>
      </c>
      <c r="B413" s="101" t="str">
        <f ca="1">IFERROR(__xludf.DUMMYFUNCTION("""COMPUTED_VALUE"""),"индикатор")</f>
        <v>индикатор</v>
      </c>
    </row>
    <row r="414" spans="1:2" ht="13">
      <c r="A414" s="101" t="str">
        <f ca="1">IFERROR(__xludf.DUMMYFUNCTION("""COMPUTED_VALUE"""),"Оснащение участков автомобильных дорог и искусственных сооружений федерального значения элементами интеллектуальных транспортных систем, ориентированных на автоматизацию процессов управления дорожным движением (накопленным итогом)")</f>
        <v>Оснащение участков автомобильных дорог и искусственных сооружений федерального значения элементами интеллектуальных транспортных систем, ориентированных на автоматизацию процессов управления дорожным движением (накопленным итогом)</v>
      </c>
      <c r="B414" s="101" t="str">
        <f ca="1">IFERROR(__xludf.DUMMYFUNCTION("""COMPUTED_VALUE"""),"индикатор")</f>
        <v>индикатор</v>
      </c>
    </row>
    <row r="415" spans="1:2" ht="13">
      <c r="A415" s="101" t="str">
        <f ca="1">IFERROR(__xludf.DUMMYFUNCTION("""COMPUTED_VALUE"""),"Оснащение участков автомобильных дорог и искусственных сооружений регионального значения элементами интеллектуальных транспортных систем, ориентированных на автоматизацию процессов управления дорожным движением (накопленным итогом)")</f>
        <v>Оснащение участков автомобильных дорог и искусственных сооружений регионального значения элементами интеллектуальных транспортных систем, ориентированных на автоматизацию процессов управления дорожным движением (накопленным итогом)</v>
      </c>
      <c r="B415" s="101" t="str">
        <f ca="1">IFERROR(__xludf.DUMMYFUNCTION("""COMPUTED_VALUE"""),"индикатор")</f>
        <v>индикатор</v>
      </c>
    </row>
    <row r="416" spans="1:2" ht="13">
      <c r="A416" s="101" t="str">
        <f ca="1">IFERROR(__xludf.DUMMYFUNCTION("""COMPUTED_VALUE"""),"Субъектам Российской предоставлено финансирование на реализацию мероприятий федерального проекта «Дорожная сеть» (за счет иных межбюджетных трансфертов из федерального бюджета и в рамках увеличения доли налоговых доходов от акцизов, поступающих в бюджеты "&amp;"субъектов Российской Федерации, без учета капиталоемких мероприятий в городских агломерациях), в объеме, не менее чем, млрд рублей")</f>
        <v>Субъектам Российской предоставлено финансирование на реализацию мероприятий федерального проекта «Дорожная сеть» (за счет иных межбюджетных трансфертов из федерального бюджета и в рамках увеличения доли налоговых доходов от акцизов, поступающих в бюджеты субъектов Российской Федерации, без учета капиталоемких мероприятий в городских агломерациях), в объеме, не менее чем, млрд рублей</v>
      </c>
      <c r="B416" s="101" t="str">
        <f ca="1">IFERROR(__xludf.DUMMYFUNCTION("""COMPUTED_VALUE"""),"индикатор")</f>
        <v>индикатор</v>
      </c>
    </row>
    <row r="417" spans="1:2" ht="13">
      <c r="A417" s="101" t="str">
        <f ca="1">IFERROR(__xludf.DUMMYFUNCTION("""COMPUTED_VALUE"""),"Не менее чем в 20 городских агломерациях проведены мероприятия по обновлению подвижного состава наземного общественного пассажирского транспорта (и при необходимости соответствующей инфраструктуры), в том числе с учетом приоритетности использования трансп"&amp;"орта, работающего на газомоторном топливе")</f>
        <v>Не менее чем в 20 городских агломерациях проведены мероприятия по обновлению подвижного состава наземного общественного пассажирского транспорта (и при необходимости соответствующей инфраструктуры), в том числе с учетом приоритетности использования транспорта, работающего на газомоторном топливе</v>
      </c>
      <c r="B417" s="101" t="str">
        <f ca="1">IFERROR(__xludf.DUMMYFUNCTION("""COMPUTED_VALUE"""),"индикатор")</f>
        <v>индикатор</v>
      </c>
    </row>
    <row r="418" spans="1:2" ht="13">
      <c r="A418" s="101" t="str">
        <f ca="1">IFERROR(__xludf.DUMMYFUNCTION("""COMPUTED_VALUE"""),"Не менее чем в 20 городских агломерациях проведены мероприятия по обновлению подвижного состава наземного общественного пассажирского транспорта
 в рамках приобретения по договорам лизинга транспортных средств (автобусов, работающих на газомоторном топлив"&amp;"е, автобусов с электродвигателем, автобусов с дизельным двигателем , троллейбусов и трамваев) со скидкой в размере 60 процентов от стоимости транспортного средства")</f>
        <v>Не менее чем в 20 городских агломерациях проведены мероприятия по обновлению подвижного состава наземного общественного пассажирского транспорта
 в рамках приобретения по договорам лизинга транспортных средств (автобусов, работающих на газомоторном топливе, автобусов с электродвигателем, автобусов с дизельным двигателем , троллейбусов и трамваев) со скидкой в размере 60 процентов от стоимости транспортного средства</v>
      </c>
      <c r="B418" s="101" t="str">
        <f ca="1">IFERROR(__xludf.DUMMYFUNCTION("""COMPUTED_VALUE"""),"индикатор")</f>
        <v>индикатор</v>
      </c>
    </row>
    <row r="419" spans="1:2" ht="13">
      <c r="A419" s="101" t="str">
        <f ca="1">IFERROR(__xludf.DUMMYFUNCTION("""COMPUTED_VALUE"""),"Подразделения, осуществляющие контрольные и надзорные функции в области обеспечения безопасности дорожного движения, оснащены патрульными автомобилями, оборудованными техническим средством фиксации обстановки внутри и снаружи автомобиля, радиостанцией, си"&amp;"гнальной громкоговорящей установкой, нанесенной цветографической окраской (не менее 19323 единиц)")</f>
        <v>Подразделения, осуществляющие контрольные и надзорные функции в области обеспечения безопасности дорожного движения, оснащены патрульными автомобилями, оборудованными техническим средством фиксации обстановки внутри и снаружи автомобиля, радиостанцией, сигнальной громкоговорящей установкой, нанесенной цветографической окраской (не менее 19323 единиц)</v>
      </c>
      <c r="B419" s="101" t="str">
        <f ca="1">IFERROR(__xludf.DUMMYFUNCTION("""COMPUTED_VALUE"""),"индикатор")</f>
        <v>индикатор</v>
      </c>
    </row>
    <row r="420" spans="1:2" ht="13">
      <c r="A420" s="101" t="str">
        <f ca="1">IFERROR(__xludf.DUMMYFUNCTION("""COMPUTED_VALUE"""),"Подразделения, осуществляющие контрольные и надзорные функции в области обеспечения безопасности дорожного движения, оснащены специальными техническими средствами измерений, используемыми для контроля за безопасностью при эксплуатации автомобильных дорог "&amp;"(не менее 12,5 тыс. приборов)")</f>
        <v>Подразделения, осуществляющие контрольные и надзорные функции в области обеспечения безопасности дорожного движения, оснащены специальными техническими средствами измерений, используемыми для контроля за безопасностью при эксплуатации автомобильных дорог (не менее 12,5 тыс. приборов)</v>
      </c>
      <c r="B420" s="101" t="str">
        <f ca="1">IFERROR(__xludf.DUMMYFUNCTION("""COMPUTED_VALUE"""),"индикатор")</f>
        <v>индикатор</v>
      </c>
    </row>
    <row r="421" spans="1:2" ht="13">
      <c r="A421" s="101" t="str">
        <f ca="1">IFERROR(__xludf.DUMMYFUNCTION("""COMPUTED_VALUE"""),"Подразделения, осуществляющие контрольные и надзорные функции в области обеспечения безопасности дорожного движения, оснащены укладками для оказания первой помощи сотрудниками Госавтоинспекции (не менее 30 тыс. единиц)")</f>
        <v>Подразделения, осуществляющие контрольные и надзорные функции в области обеспечения безопасности дорожного движения, оснащены укладками для оказания первой помощи сотрудниками Госавтоинспекции (не менее 30 тыс. единиц)</v>
      </c>
      <c r="B421" s="101" t="str">
        <f ca="1">IFERROR(__xludf.DUMMYFUNCTION("""COMPUTED_VALUE"""),"индикатор")</f>
        <v>индикатор</v>
      </c>
    </row>
    <row r="422" spans="1:2" ht="13">
      <c r="A422" s="101" t="str">
        <f ca="1">IFERROR(__xludf.DUMMYFUNCTION("""COMPUTED_VALUE"""),"Приобретены специальные технические средства измерений, используемые для контроля за безопасностью при эксплуатации транспортных средств (не менее 7,5 тыс. единиц)")</f>
        <v>Приобретены специальные технические средства измерений, используемые для контроля за безопасностью при эксплуатации транспортных средств (не менее 7,5 тыс. единиц)</v>
      </c>
      <c r="B422" s="101" t="str">
        <f ca="1">IFERROR(__xludf.DUMMYFUNCTION("""COMPUTED_VALUE"""),"индикатор")</f>
        <v>индикатор</v>
      </c>
    </row>
    <row r="423" spans="1:2" ht="13">
      <c r="A423" s="101" t="str">
        <f ca="1">IFERROR(__xludf.DUMMYFUNCTION("""COMPUTED_VALUE"""),"Оснащены подразделения, осуществляющие контрольные и надзорные функции в области обеспечения безопасности дорожного движения - средствами индикации (обнаружения) признаков опьянения (не менее 16 207 тыс. единиц)")</f>
        <v>Оснащены подразделения, осуществляющие контрольные и надзорные функции в области обеспечения безопасности дорожного движения - средствами индикации (обнаружения) признаков опьянения (не менее 16 207 тыс. единиц)</v>
      </c>
      <c r="B423" s="101" t="str">
        <f ca="1">IFERROR(__xludf.DUMMYFUNCTION("""COMPUTED_VALUE"""),"индикатор")</f>
        <v>индикатор</v>
      </c>
    </row>
    <row r="424" spans="1:2" ht="13">
      <c r="A424" s="101" t="str">
        <f ca="1">IFERROR(__xludf.DUMMYFUNCTION("""COMPUTED_VALUE"""),"Осуществлена ежегодная поверка и ремонт имеющихся в подразделениях, осуществляющих контрольные и надзорные функции в области обеспечения безопасности дорожного движения, специальных технических средств измерений, используемых для контроля за безопасностью"&amp;" при эксплуатации транспортных средств и автомобильных дорог 
 (не менее 20 тыс. ремонтов и поверок)")</f>
        <v>Осуществлена ежегодная поверка и ремонт имеющихся в подразделениях, осуществляющих контрольные и надзорные функции в области обеспечения безопасности дорожного движения, специальных технических средств измерений, используемых для контроля за безопасностью при эксплуатации транспортных средств и автомобильных дорог 
 (не менее 20 тыс. ремонтов и поверок)</v>
      </c>
      <c r="B424" s="101" t="str">
        <f ca="1">IFERROR(__xludf.DUMMYFUNCTION("""COMPUTED_VALUE"""),"индикатор")</f>
        <v>индикатор</v>
      </c>
    </row>
    <row r="425" spans="1:2" ht="13">
      <c r="A425" s="101" t="str">
        <f ca="1">IFERROR(__xludf.DUMMYFUNCTION("""COMPUTED_VALUE"""),"Проведена ежегодная поверка диагностического оборудования передвижных пунктов технического контроля 
 (не менее 82 единиц)")</f>
        <v>Проведена ежегодная поверка диагностического оборудования передвижных пунктов технического контроля 
 (не менее 82 единиц)</v>
      </c>
      <c r="B425" s="101" t="str">
        <f ca="1">IFERROR(__xludf.DUMMYFUNCTION("""COMPUTED_VALUE"""),"индикатор")</f>
        <v>индикатор</v>
      </c>
    </row>
    <row r="426" spans="1:2" ht="13">
      <c r="A426" s="101" t="str">
        <f ca="1">IFERROR(__xludf.DUMMYFUNCTION("""COMPUTED_VALUE"""),"Ежегодно утверждаются межведомственные планы мероприятий по освещению в средствах массовой информации вопросов безопасности дорожного движения")</f>
        <v>Ежегодно утверждаются межведомственные планы мероприятий по освещению в средствах массовой информации вопросов безопасности дорожного движения</v>
      </c>
      <c r="B426" s="101" t="str">
        <f ca="1">IFERROR(__xludf.DUMMYFUNCTION("""COMPUTED_VALUE"""),"индикатор")</f>
        <v>индикатор</v>
      </c>
    </row>
    <row r="427" spans="1:2" ht="13">
      <c r="A427" s="101" t="str">
        <f ca="1">IFERROR(__xludf.DUMMYFUNCTION("""COMPUTED_VALUE"""),"Приняты нормативные правовые акты, направленные на совершенствование учета дорожно-транспортных происшествий")</f>
        <v>Приняты нормативные правовые акты, направленные на совершенствование учета дорожно-транспортных происшествий</v>
      </c>
      <c r="B427" s="101" t="str">
        <f ca="1">IFERROR(__xludf.DUMMYFUNCTION("""COMPUTED_VALUE"""),"индикатор")</f>
        <v>индикатор</v>
      </c>
    </row>
    <row r="428" spans="1:2" ht="13">
      <c r="A428" s="101" t="str">
        <f ca="1">IFERROR(__xludf.DUMMYFUNCTION("""COMPUTED_VALUE"""),"Приняты нормативные правовые акты, направленные на совершенствование требований к организации дорожного движения")</f>
        <v>Приняты нормативные правовые акты, направленные на совершенствование требований к организации дорожного движения</v>
      </c>
      <c r="B428" s="101" t="str">
        <f ca="1">IFERROR(__xludf.DUMMYFUNCTION("""COMPUTED_VALUE"""),"индикатор")</f>
        <v>индикатор</v>
      </c>
    </row>
    <row r="429" spans="1:2" ht="13">
      <c r="A429" s="101" t="str">
        <f ca="1">IFERROR(__xludf.DUMMYFUNCTION("""COMPUTED_VALUE"""),"Приняты нормативные правовые акты, направленные на совершенствование медицинского обеспечения безопасности дорожного движения")</f>
        <v>Приняты нормативные правовые акты, направленные на совершенствование медицинского обеспечения безопасности дорожного движения</v>
      </c>
      <c r="B429" s="101" t="str">
        <f ca="1">IFERROR(__xludf.DUMMYFUNCTION("""COMPUTED_VALUE"""),"индикатор")</f>
        <v>индикатор</v>
      </c>
    </row>
    <row r="430" spans="1:2" ht="13">
      <c r="A430" s="101" t="str">
        <f ca="1">IFERROR(__xludf.DUMMYFUNCTION("""COMPUTED_VALUE"""),"Приняты нормативные правовые акты, направленные на совершенствование организационно-правовых механизмов допуска транспортных средств и их водителей к участию в дорожном движении")</f>
        <v>Приняты нормативные правовые акты, направленные на совершенствование организационно-правовых механизмов допуска транспортных средств и их водителей к участию в дорожном движении</v>
      </c>
      <c r="B430" s="101" t="str">
        <f ca="1">IFERROR(__xludf.DUMMYFUNCTION("""COMPUTED_VALUE"""),"индикатор")</f>
        <v>индикатор</v>
      </c>
    </row>
    <row r="431" spans="1:2" ht="13">
      <c r="A431" s="101" t="str">
        <f ca="1">IFERROR(__xludf.DUMMYFUNCTION("""COMPUTED_VALUE"""),"Медицинские организации оснащены автомобилями скорой медицинской помощи класса ""С"" для оказания скорой медицинской помощи пациентам, пострадавшим при дорожно-транспортных происшествиях (не менее 600 единиц)")</f>
        <v>Медицинские организации оснащены автомобилями скорой медицинской помощи класса "С" для оказания скорой медицинской помощи пациентам, пострадавшим при дорожно-транспортных происшествиях (не менее 600 единиц)</v>
      </c>
      <c r="B431" s="101" t="str">
        <f ca="1">IFERROR(__xludf.DUMMYFUNCTION("""COMPUTED_VALUE"""),"индикатор")</f>
        <v>индикатор</v>
      </c>
    </row>
    <row r="432" spans="1:2" ht="13">
      <c r="A432" s="101" t="str">
        <f ca="1">IFERROR(__xludf.DUMMYFUNCTION("""COMPUTED_VALUE"""),"Увеличение доли автомобильных дорог, соответствующих нормативным требованиям")</f>
        <v>Увеличение доли автомобильных дорог, соответствующих нормативным требованиям</v>
      </c>
      <c r="B432" s="101" t="str">
        <f ca="1">IFERROR(__xludf.DUMMYFUNCTION("""COMPUTED_VALUE"""),"индикатор")</f>
        <v>индикатор</v>
      </c>
    </row>
    <row r="433" spans="1:2" ht="13">
      <c r="A433" s="101" t="str">
        <f ca="1">IFERROR(__xludf.DUMMYFUNCTION("""COMPUTED_VALUE"""),"Созданы 14 центров компетенций Национальной технологической инициативы (далее - НТИ), обеспечивающих формирование инновационных решений в области ""сквозных"" технологий")</f>
        <v>Созданы 14 центров компетенций Национальной технологической инициативы (далее - НТИ), обеспечивающих формирование инновационных решений в области "сквозных" технологий</v>
      </c>
      <c r="B433" s="101" t="str">
        <f ca="1">IFERROR(__xludf.DUMMYFUNCTION("""COMPUTED_VALUE"""),"индикатор")</f>
        <v>индикатор</v>
      </c>
    </row>
    <row r="434" spans="1:2" ht="13">
      <c r="A434" s="101" t="str">
        <f ca="1">IFERROR(__xludf.DUMMYFUNCTION("""COMPUTED_VALUE"""),"В разработку технологий, продуктов, услуг в рамках реализации проектов НОЦ и НТИ вовлечены не менее 250 крупных или средних российских компаний, работающих на соответствующих рынках наукоемких технологий, продуктов, услуг, в том числе нарастающим итогом:")</f>
        <v>В разработку технологий, продуктов, услуг в рамках реализации проектов НОЦ и НТИ вовлечены не менее 250 крупных или средних российских компаний, работающих на соответствующих рынках наукоемких технологий, продуктов, услуг, в том числе нарастающим итогом:</v>
      </c>
      <c r="B434" s="101" t="str">
        <f ca="1">IFERROR(__xludf.DUMMYFUNCTION("""COMPUTED_VALUE"""),"индикатор")</f>
        <v>индикатор</v>
      </c>
    </row>
    <row r="435" spans="1:2" ht="13">
      <c r="A435" s="101" t="str">
        <f ca="1">IFERROR(__xludf.DUMMYFUNCTION("""COMPUTED_VALUE"""),"Не менее 10 000 обучающихся прошли обучение по образовательным программам, направленных на подготовку кадров по приоритетам научно-технологического развития, организаций-участников НОЦ, созданных в 2019 - 2020 годах, в том числе по годам нарастающим итого"&amp;"м:")</f>
        <v>Не менее 10 000 обучающихся прошли обучение по образовательным программам, направленных на подготовку кадров по приоритетам научно-технологического развития, организаций-участников НОЦ, созданных в 2019 - 2020 годах, в том числе по годам нарастающим итогом:</v>
      </c>
      <c r="B435" s="101" t="str">
        <f ca="1">IFERROR(__xludf.DUMMYFUNCTION("""COMPUTED_VALUE"""),"индикатор")</f>
        <v>индикатор</v>
      </c>
    </row>
    <row r="436" spans="1:2" ht="13">
      <c r="A436" s="101" t="str">
        <f ca="1">IFERROR(__xludf.DUMMYFUNCTION("""COMPUTED_VALUE"""),"Объем внутренних затрат на исследования и разработки за счет внебюджетных источников компаний-участников НОЦ, созданных в 2019 - 2020 годах, на реализацию проектов НОЦ увеличен нарастающим итогом не менее чем в 2 раза к 2024 году, в том числе в отчетных г"&amp;"одах:")</f>
        <v>Объем внутренних затрат на исследования и разработки за счет внебюджетных источников компаний-участников НОЦ, созданных в 2019 - 2020 годах, на реализацию проектов НОЦ увеличен нарастающим итогом не менее чем в 2 раза к 2024 году, в том числе в отчетных годах:</v>
      </c>
      <c r="B436" s="101" t="str">
        <f ca="1">IFERROR(__xludf.DUMMYFUNCTION("""COMPUTED_VALUE"""),"индикатор")</f>
        <v>индикатор</v>
      </c>
    </row>
    <row r="437" spans="1:2" ht="13">
      <c r="A437" s="101" t="str">
        <f ca="1">IFERROR(__xludf.DUMMYFUNCTION("""COMPUTED_VALUE"""),"С участием организаций-участников НОЦ, а также центров компетенции НТИ, в рамках реализации проектов подано не менее 1500 заявок на получение патента на изобретение в Российской Федерации и за рубежом, в том числе по годам нарастающим итогом:")</f>
        <v>С участием организаций-участников НОЦ, а также центров компетенции НТИ, в рамках реализации проектов подано не менее 1500 заявок на получение патента на изобретение в Российской Федерации и за рубежом, в том числе по годам нарастающим итогом:</v>
      </c>
      <c r="B437" s="101" t="str">
        <f ca="1">IFERROR(__xludf.DUMMYFUNCTION("""COMPUTED_VALUE"""),"индикатор")</f>
        <v>индикатор</v>
      </c>
    </row>
    <row r="438" spans="1:2" ht="13">
      <c r="A438" s="101" t="str">
        <f ca="1">IFERROR(__xludf.DUMMYFUNCTION("""COMPUTED_VALUE"""),"В рамках НОЦ, а также центров компетенции НТИ, разработаны и переданы для внедрения и производства в организации, действующие в реальном секторе экономики, не менее 140 технологий, защищенных патентами, в том числе по годам нарастающим итогом:")</f>
        <v>В рамках НОЦ, а также центров компетенции НТИ, разработаны и переданы для внедрения и производства в организации, действующие в реальном секторе экономики, не менее 140 технологий, защищенных патентами, в том числе по годам нарастающим итогом:</v>
      </c>
      <c r="B438" s="101" t="str">
        <f ca="1">IFERROR(__xludf.DUMMYFUNCTION("""COMPUTED_VALUE"""),"индикатор")</f>
        <v>индикатор</v>
      </c>
    </row>
    <row r="439" spans="1:2" ht="13">
      <c r="A439" s="101" t="str">
        <f ca="1">IFERROR(__xludf.DUMMYFUNCTION("""COMPUTED_VALUE"""),"Создана и функционирует единая сеть, включающая в себя не менее 15 НОЦ мирового уровня, научные центры мирового уровня, не менее 14 центров компетенции НТИ и иные исследовательские центры, участвующие в достижении целей национальных проектов и обеспечиваю"&amp;"щие решение задач СНТР, пространственного развития Российской Федерации, опережающую динамику показателей результативности, в том числе - вклада в достижение целевых показателей национального проекта")</f>
        <v>Создана и функционирует единая сеть, включающая в себя не менее 15 НОЦ мирового уровня, научные центры мирового уровня, не менее 14 центров компетенции НТИ и иные исследовательские центры, участвующие в достижении целей национальных проектов и обеспечивающие решение задач СНТР, пространственного развития Российской Федерации, опережающую динамику показателей результативности, в том числе - вклада в достижение целевых показателей национального проекта</v>
      </c>
      <c r="B439" s="101" t="str">
        <f ca="1">IFERROR(__xludf.DUMMYFUNCTION("""COMPUTED_VALUE"""),"индикатор")</f>
        <v>индикатор</v>
      </c>
    </row>
    <row r="440" spans="1:2" ht="13">
      <c r="A440" s="101" t="str">
        <f ca="1">IFERROR(__xludf.DUMMYFUNCTION("""COMPUTED_VALUE"""),"Создано не менее 4 международных математических центров мирового уровня, выполняющих исследования и разработки по актуальным направлениям развития математики с участием российских и зарубежных ведущих ученых")</f>
        <v>Создано не менее 4 международных математических центров мирового уровня, выполняющих исследования и разработки по актуальным направлениям развития математики с участием российских и зарубежных ведущих ученых</v>
      </c>
      <c r="B440" s="101" t="str">
        <f ca="1">IFERROR(__xludf.DUMMYFUNCTION("""COMPUTED_VALUE"""),"индикатор")</f>
        <v>индикатор</v>
      </c>
    </row>
    <row r="441" spans="1:2" ht="13">
      <c r="A441" s="101" t="str">
        <f ca="1">IFERROR(__xludf.DUMMYFUNCTION("""COMPUTED_VALUE"""),"Создано не менее 3 центров геномных исследований мирового уровня, выполняющих исследования и разработки по актуальным направлениям развития геномных исследований с участием российских и зарубежных ведущих ученых")</f>
        <v>Создано не менее 3 центров геномных исследований мирового уровня, выполняющих исследования и разработки по актуальным направлениям развития геномных исследований с участием российских и зарубежных ведущих ученых</v>
      </c>
      <c r="B441" s="101" t="str">
        <f ca="1">IFERROR(__xludf.DUMMYFUNCTION("""COMPUTED_VALUE"""),"индикатор")</f>
        <v>индикатор</v>
      </c>
    </row>
    <row r="442" spans="1:2" ht="13">
      <c r="A442" s="101" t="str">
        <f ca="1">IFERROR(__xludf.DUMMYFUNCTION("""COMPUTED_VALUE"""),"Не менее 9 200 молодых исследователей и обучающихся приняли участие в реализуемых научными центрами мирового уровня, образовательных, научных и (или) научно-технических программах и проектах, в том числе по годам нарастающим итогом:")</f>
        <v>Не менее 9 200 молодых исследователей и обучающихся приняли участие в реализуемых научными центрами мирового уровня, образовательных, научных и (или) научно-технических программах и проектах, в том числе по годам нарастающим итогом:</v>
      </c>
      <c r="B442" s="101" t="str">
        <f ca="1">IFERROR(__xludf.DUMMYFUNCTION("""COMPUTED_VALUE"""),"индикатор")</f>
        <v>индикатор</v>
      </c>
    </row>
    <row r="443" spans="1:2" ht="13">
      <c r="A443" s="101" t="str">
        <f ca="1">IFERROR(__xludf.DUMMYFUNCTION("""COMPUTED_VALUE"""),"Отобрано не менее 6 организаций (2 очередь), на базе которых будут созданы научные центры мирового уровня, выполняющие исследования и разработки по приоритетам научно-технологического развития (с учетом опыта создания центров первой очереди)")</f>
        <v>Отобрано не менее 6 организаций (2 очередь), на базе которых будут созданы научные центры мирового уровня, выполняющие исследования и разработки по приоритетам научно-технологического развития (с учетом опыта создания центров первой очереди)</v>
      </c>
      <c r="B443" s="101" t="str">
        <f ca="1">IFERROR(__xludf.DUMMYFUNCTION("""COMPUTED_VALUE"""),"индикатор")</f>
        <v>индикатор</v>
      </c>
    </row>
    <row r="444" spans="1:2" ht="13">
      <c r="A444" s="101" t="str">
        <f ca="1">IFERROR(__xludf.DUMMYFUNCTION("""COMPUTED_VALUE"""),"Организован и проведен 29-й Всемирный математический конгресс в Санкт-Петербурге с участием ведущих математических центров, в том числе зарубежных")</f>
        <v>Организован и проведен 29-й Всемирный математический конгресс в Санкт-Петербурге с участием ведущих математических центров, в том числе зарубежных</v>
      </c>
      <c r="B444" s="101" t="str">
        <f ca="1">IFERROR(__xludf.DUMMYFUNCTION("""COMPUTED_VALUE"""),"индикатор")</f>
        <v>индикатор</v>
      </c>
    </row>
    <row r="445" spans="1:2" ht="13">
      <c r="A445" s="101" t="str">
        <f ca="1">IFERROR(__xludf.DUMMYFUNCTION("""COMPUTED_VALUE"""),"Созданы и поддержаны не менее 9 научных центров мирового уровня, выполняющих исследования и разработки по приоритетам научно-технологического развития с участием российских и зарубежных ведущих ученых, в том числе по годам нарастающим итогом:")</f>
        <v>Созданы и поддержаны не менее 9 научных центров мирового уровня, выполняющих исследования и разработки по приоритетам научно-технологического развития с участием российских и зарубежных ведущих ученых, в том числе по годам нарастающим итогом:</v>
      </c>
      <c r="B445" s="101" t="str">
        <f ca="1">IFERROR(__xludf.DUMMYFUNCTION("""COMPUTED_VALUE"""),"индикатор")</f>
        <v>индикатор</v>
      </c>
    </row>
    <row r="446" spans="1:2" ht="13">
      <c r="A446" s="101" t="str">
        <f ca="1">IFERROR(__xludf.DUMMYFUNCTION("""COMPUTED_VALUE"""),"Количество российских и зарубежных ведущих ученых, работающих в научных центрах мирового уровня совместно с учеными из других научных организаций Российской Федерации по каждому из направлений исследований и разработок научных центров мирового уровня, соз"&amp;"данных в 2020 и 2021 годах, увеличено в 1,3 раза в отчетном году, в том числе:
 в 2023 году - не менее чем 1,4 раза для научных центров мирового уровня, созданных в 2020 году;
 в 2024 году - не менее чем в 1,2 раза для научных центров мирового уровня, соз"&amp;"данных в 2021 году")</f>
        <v>Количество российских и зарубежных ведущих ученых, работающих в научных центрах мирового уровня совместно с учеными из других научных организаций Российской Федерации по каждому из направлений исследований и разработок научных центров мирового уровня, созданных в 2020 и 2021 годах, увеличено в 1,3 раза в отчетном году, в том числе:
 в 2023 году - не менее чем 1,4 раза для научных центров мирового уровня, созданных в 2020 году;
 в 2024 году - не менее чем в 1,2 раза для научных центров мирового уровня, созданных в 2021 году</v>
      </c>
      <c r="B446" s="101" t="str">
        <f ca="1">IFERROR(__xludf.DUMMYFUNCTION("""COMPUTED_VALUE"""),"индикатор")</f>
        <v>индикатор</v>
      </c>
    </row>
    <row r="447" spans="1:2" ht="13">
      <c r="A447" s="101" t="str">
        <f ca="1">IFERROR(__xludf.DUMMYFUNCTION("""COMPUTED_VALUE"""),"С использованием разработанных в научных центрах мирового уровня современных методик генетических исследований опубликовано не менее 200 статей в журналах первой квартили, индексированных в международных базах данных")</f>
        <v>С использованием разработанных в научных центрах мирового уровня современных методик генетических исследований опубликовано не менее 200 статей в журналах первой квартили, индексированных в международных базах данных</v>
      </c>
      <c r="B447" s="101" t="str">
        <f ca="1">IFERROR(__xludf.DUMMYFUNCTION("""COMPUTED_VALUE"""),"индикатор")</f>
        <v>индикатор</v>
      </c>
    </row>
    <row r="448" spans="1:2" ht="13">
      <c r="A448" s="101" t="str">
        <f ca="1">IFERROR(__xludf.DUMMYFUNCTION("""COMPUTED_VALUE"""),"Функционирует не менее 3 национальных сетевых биоресурсных центров, обеспечивающих формирование, хранение и предоставление образцов в соответствии с мировыми стандартами работы биоресурных центров, услуги которых востребованы организациями, в том числе ре"&amp;"ального сектора экономики")</f>
        <v>Функционирует не менее 3 национальных сетевых биоресурсных центров, обеспечивающих формирование, хранение и предоставление образцов в соответствии с мировыми стандартами работы биоресурных центров, услуги которых востребованы организациями, в том числе реального сектора экономики</v>
      </c>
      <c r="B448" s="101" t="str">
        <f ca="1">IFERROR(__xludf.DUMMYFUNCTION("""COMPUTED_VALUE"""),"индикатор")</f>
        <v>индикатор</v>
      </c>
    </row>
    <row r="449" spans="1:2" ht="13">
      <c r="A449" s="101" t="str">
        <f ca="1">IFERROR(__xludf.DUMMYFUNCTION("""COMPUTED_VALUE"""),"Организован и проведен 21-й Менделеевский Съезд по общей и прикладной химии в Санкт-Петербурге в рамках Международного года Периодической таблицы химических элементов в 2019 году с участием ведущих химических организаций, в том числе зарубежных")</f>
        <v>Организован и проведен 21-й Менделеевский Съезд по общей и прикладной химии в Санкт-Петербурге в рамках Международного года Периодической таблицы химических элементов в 2019 году с участием ведущих химических организаций, в том числе зарубежных</v>
      </c>
      <c r="B449" s="101" t="str">
        <f ca="1">IFERROR(__xludf.DUMMYFUNCTION("""COMPUTED_VALUE"""),"индикатор")</f>
        <v>индикатор</v>
      </c>
    </row>
    <row r="450" spans="1:2" ht="13">
      <c r="A450" s="101" t="str">
        <f ca="1">IFERROR(__xludf.DUMMYFUNCTION("""COMPUTED_VALUE"""),"В ведущих организациях, выполняющих научные исследования и разработки, отобранных с учетом следующих показателей:
 - уровень загрузки оборудования;
 - доля исследований, проводимых под руководством молодых ученых в возрасте до 39 лет;
 - доля внешних поль"&amp;"зователей научного оборудования (в первую очередь - ведущих научных и образовательных организаций, вовлеченных в деятельность НОЦ, центров компетенции НТИ, научных центров мирового уровня), обновлено в отчетном году:")</f>
        <v>В ведущих организациях, выполняющих научные исследования и разработки, отобранных с учетом следующих показателей:
 - уровень загрузки оборудования;
 - доля исследований, проводимых под руководством молодых ученых в возрасте до 39 лет;
 - доля внешних пользователей научного оборудования (в первую очередь - ведущих научных и образовательных организаций, вовлеченных в деятельность НОЦ, центров компетенции НТИ, научных центров мирового уровня), обновлено в отчетном году:</v>
      </c>
      <c r="B450" s="101" t="str">
        <f ca="1">IFERROR(__xludf.DUMMYFUNCTION("""COMPUTED_VALUE"""),"индикатор")</f>
        <v>индикатор</v>
      </c>
    </row>
    <row r="451" spans="1:2" ht="13">
      <c r="A451" s="101" t="str">
        <f ca="1">IFERROR(__xludf.DUMMYFUNCTION("""COMPUTED_VALUE"""),"Увеличено количество статей ведущих организаций, выполняющих научные исследования и разработки по профилю деятельности ""Генерация знаний"", в изданиях, индексируемых в международных базах данных, не менее чем на:")</f>
        <v>Увеличено количество статей ведущих организаций, выполняющих научные исследования и разработки по профилю деятельности "Генерация знаний", в изданиях, индексируемых в международных базах данных, не менее чем на:</v>
      </c>
      <c r="B451" s="101" t="str">
        <f ca="1">IFERROR(__xludf.DUMMYFUNCTION("""COMPUTED_VALUE"""),"индикатор")</f>
        <v>индикатор</v>
      </c>
    </row>
    <row r="452" spans="1:2" ht="13">
      <c r="A452" s="101" t="str">
        <f ca="1">IFERROR(__xludf.DUMMYFUNCTION("""COMPUTED_VALUE"""),"Увеличена доля внешних заказов услуг и работ центров коллективного пользования нарастающим итогом не менее чем на 70 процентов, в том числе в отчетных годах, не менее чем на:")</f>
        <v>Увеличена доля внешних заказов услуг и работ центров коллективного пользования нарастающим итогом не менее чем на 70 процентов, в том числе в отчетных годах, не менее чем на:</v>
      </c>
      <c r="B452" s="101" t="str">
        <f ca="1">IFERROR(__xludf.DUMMYFUNCTION("""COMPUTED_VALUE"""),"индикатор")</f>
        <v>индикатор</v>
      </c>
    </row>
    <row r="453" spans="1:2" ht="13">
      <c r="A453" s="101" t="str">
        <f ca="1">IFERROR(__xludf.DUMMYFUNCTION("""COMPUTED_VALUE"""),"Увеличен объем внебюджетных средств ведущих организаций, выполняющих научные исследования и разработки по профилям деятельности ""Разработка технологий"" и ""Научно-технические услуги"", а также центров компетенции НТИ, нарастающим итогом, в том числе в о"&amp;"тчетных годах, не менее чем на:")</f>
        <v>Увеличен объем внебюджетных средств ведущих организаций, выполняющих научные исследования и разработки по профилям деятельности "Разработка технологий" и "Научно-технические услуги", а также центров компетенции НТИ, нарастающим итогом, в том числе в отчетных годах, не менее чем на:</v>
      </c>
      <c r="B453" s="101" t="str">
        <f ca="1">IFERROR(__xludf.DUMMYFUNCTION("""COMPUTED_VALUE"""),"индикатор")</f>
        <v>индикатор</v>
      </c>
    </row>
    <row r="454" spans="1:2" ht="13">
      <c r="A454" s="101" t="str">
        <f ca="1">IFERROR(__xludf.DUMMYFUNCTION("""COMPUTED_VALUE"""),"В рамках деятельности ведущих организаций, выполняющих научные исследования и разработки по профилю деятельности ""Разработка технологий"", разработаны и переданы для внедрения и производства не менее 100 технологий, в том числе по годам нарастающим итого"&amp;"м:")</f>
        <v>В рамках деятельности ведущих организаций, выполняющих научные исследования и разработки по профилю деятельности "Разработка технологий", разработаны и переданы для внедрения и производства не менее 100 технологий, в том числе по годам нарастающим итогом:</v>
      </c>
      <c r="B454" s="101" t="str">
        <f ca="1">IFERROR(__xludf.DUMMYFUNCTION("""COMPUTED_VALUE"""),"индикатор")</f>
        <v>индикатор</v>
      </c>
    </row>
    <row r="455" spans="1:2" ht="13">
      <c r="A455" s="101" t="str">
        <f ca="1">IFERROR(__xludf.DUMMYFUNCTION("""COMPUTED_VALUE"""),"Заложены два новых современных научно-исследовательских судна неограниченного района плавания")</f>
        <v>Заложены два новых современных научно-исследовательских судна неограниченного района плавания</v>
      </c>
      <c r="B455" s="101" t="str">
        <f ca="1">IFERROR(__xludf.DUMMYFUNCTION("""COMPUTED_VALUE"""),"индикатор")</f>
        <v>индикатор</v>
      </c>
    </row>
    <row r="456" spans="1:2" ht="13">
      <c r="A456" s="101" t="str">
        <f ca="1">IFERROR(__xludf.DUMMYFUNCTION("""COMPUTED_VALUE"""),"С участием ведущих зарубежных экспертов и рекомендаций международных научных комитетов отобраны для проведения на российских уникальных научных установках не менее 5 масштабных научных проектов мирового уровня, обеспечивающих решение ключевых исследовател"&amp;"ьских задач в мировой научной повестке, направленных на получение новых фундаментальных знаний, необходимых для долгосрочного развития страны, в том числе для обеспечения готовности к большим вызовам, еще не проявившимся и не получившим широкого обществен"&amp;"ного признания")</f>
        <v>С участием ведущих зарубежных экспертов и рекомендаций международных научных комитетов отобраны для проведения на российских уникальных научных установках не менее 5 масштабных научных проектов мирового уровня, обеспечивающих решение ключевых исследовательских задач в мировой научной повестке, направленных на получение новых фундаментальных знаний, необходимых для долгосрочного развития страны, в том числе для обеспечения готовности к большим вызовам, еще не проявившимся и не получившим широкого общественного признания</v>
      </c>
      <c r="B456" s="101" t="str">
        <f ca="1">IFERROR(__xludf.DUMMYFUNCTION("""COMPUTED_VALUE"""),"индикатор")</f>
        <v>индикатор</v>
      </c>
    </row>
    <row r="457" spans="1:2" ht="13">
      <c r="A457" s="101" t="str">
        <f ca="1">IFERROR(__xludf.DUMMYFUNCTION("""COMPUTED_VALUE"""),"Начата реализация в Российской Федерации не менее 5 масштабных научных проектов мирового уровня, имеющих целью прорывное решение ключевых исследовательских задач в мировой научной повестке, получение новых фундаментальных знаний, в том числе по годам нара"&amp;"стающим итогом:")</f>
        <v>Начата реализация в Российской Федерации не менее 5 масштабных научных проектов мирового уровня, имеющих целью прорывное решение ключевых исследовательских задач в мировой научной повестке, получение новых фундаментальных знаний, в том числе по годам нарастающим итогом:</v>
      </c>
      <c r="B457" s="101" t="str">
        <f ca="1">IFERROR(__xludf.DUMMYFUNCTION("""COMPUTED_VALUE"""),"индикатор")</f>
        <v>индикатор</v>
      </c>
    </row>
    <row r="458" spans="1:2" ht="13">
      <c r="A458" s="101" t="str">
        <f ca="1">IFERROR(__xludf.DUMMYFUNCTION("""COMPUTED_VALUE"""),"Создано нарастающим итогом не менее 35 селекционно-семенноводческих и селекционно-племенных центров в области сельского хозяйства для создания и внедрения в агропромышленный комплекс современных технологий на основе собственных разработок научных и образо"&amp;"вательных организаций в рамках реализации Указа Президента Российской Федерации от 21 июля 2016 г. № 350 ""О мерах по реализации государственной научно-технической политики в интересах развития сельского хозяйства"", в том числе с участием центров геномны"&amp;"х исследований мирового уровня")</f>
        <v>Создано нарастающим итогом не менее 35 селекционно-семенноводческих и селекционно-племенных центров в области сельского хозяйства для создания и внедрения в агропромышленный комплекс современных технологий на основе собственных разработок научных и образовательных организаций в рамках реализации Указа Президента Российской Федерации от 21 июля 2016 г. № 350 "О мерах по реализации государственной научно-технической политики в интересах развития сельского хозяйства", в том числе с участием центров геномных исследований мирового уровня</v>
      </c>
      <c r="B458" s="101" t="str">
        <f ca="1">IFERROR(__xludf.DUMMYFUNCTION("""COMPUTED_VALUE"""),"индикатор")</f>
        <v>индикатор</v>
      </c>
    </row>
    <row r="459" spans="1:2" ht="13">
      <c r="A459" s="101" t="str">
        <f ca="1">IFERROR(__xludf.DUMMYFUNCTION("""COMPUTED_VALUE"""),"Не менее 500 российских научных журналов включены в международные базы данных (WEB of Science, Scopus), в том числе по годам нарастающим итогом:")</f>
        <v>Не менее 500 российских научных журналов включены в международные базы данных (WEB of Science, Scopus), в том числе по годам нарастающим итогом:</v>
      </c>
      <c r="B459" s="101" t="str">
        <f ca="1">IFERROR(__xludf.DUMMYFUNCTION("""COMPUTED_VALUE"""),"индикатор")</f>
        <v>индикатор</v>
      </c>
    </row>
    <row r="460" spans="1:2" ht="13">
      <c r="A460" s="101" t="str">
        <f ca="1">IFERROR(__xludf.DUMMYFUNCTION("""COMPUTED_VALUE"""),"Функционирует не менее 5 агробиотехнопарков, каждый из которых обеспечивает годовую выручку не менее 1 млрд. рублей в год в отчетном году")</f>
        <v>Функционирует не менее 5 агробиотехнопарков, каждый из которых обеспечивает годовую выручку не менее 1 млрд. рублей в год в отчетном году</v>
      </c>
      <c r="B460" s="101" t="str">
        <f ca="1">IFERROR(__xludf.DUMMYFUNCTION("""COMPUTED_VALUE"""),"индикатор")</f>
        <v>индикатор</v>
      </c>
    </row>
    <row r="461" spans="1:2" ht="13">
      <c r="A461" s="101" t="str">
        <f ca="1">IFERROR(__xludf.DUMMYFUNCTION("""COMPUTED_VALUE"""),"Разработаны нарастающим итогом не менее 100 востребованных селекционных достижений в области сельского хозяйства")</f>
        <v>Разработаны нарастающим итогом не менее 100 востребованных селекционных достижений в области сельского хозяйства</v>
      </c>
      <c r="B461" s="101" t="str">
        <f ca="1">IFERROR(__xludf.DUMMYFUNCTION("""COMPUTED_VALUE"""),"индикатор")</f>
        <v>индикатор</v>
      </c>
    </row>
    <row r="462" spans="1:2" ht="13">
      <c r="A462" s="101" t="str">
        <f ca="1">IFERROR(__xludf.DUMMYFUNCTION("""COMPUTED_VALUE"""),"Выполнено не менее 238 морских экспедиций на научно-исследовательских судах, в том числе по годам нарастающим итогом:")</f>
        <v>Выполнено не менее 238 морских экспедиций на научно-исследовательских судах, в том числе по годам нарастающим итогом:</v>
      </c>
      <c r="B462" s="101" t="str">
        <f ca="1">IFERROR(__xludf.DUMMYFUNCTION("""COMPUTED_VALUE"""),"индикатор")</f>
        <v>индикатор</v>
      </c>
    </row>
    <row r="463" spans="1:2" ht="13">
      <c r="A463" s="101" t="str">
        <f ca="1">IFERROR(__xludf.DUMMYFUNCTION("""COMPUTED_VALUE"""),"Количество статей по приоритетам научно-технологического развития в журналах первого и второго квартиля, индексированных в международных базах данных, выполненных с использованием передовой инфраструктуры научных исследований и разработок, составляет не м"&amp;"енее 4000 в отчетном году")</f>
        <v>Количество статей по приоритетам научно-технологического развития в журналах первого и второго квартиля, индексированных в международных базах данных, выполненных с использованием передовой инфраструктуры научных исследований и разработок, составляет не менее 4000 в отчетном году</v>
      </c>
      <c r="B463" s="101" t="str">
        <f ca="1">IFERROR(__xludf.DUMMYFUNCTION("""COMPUTED_VALUE"""),"индикатор")</f>
        <v>индикатор</v>
      </c>
    </row>
    <row r="464" spans="1:2" ht="13">
      <c r="A464" s="101" t="str">
        <f ca="1">IFERROR(__xludf.DUMMYFUNCTION("""COMPUTED_VALUE"""),"С участием инжиниринговых центров, центров проектирования, центров прототипирования, иных подразделений инженерно-технического профиля организаций, ведущих исследования и разработки, подано заявок на получение патентов на изобретение в Российской Федераци"&amp;"и и за рубежом:")</f>
        <v>С участием инжиниринговых центров, центров проектирования, центров прототипирования, иных подразделений инженерно-технического профиля организаций, ведущих исследования и разработки, подано заявок на получение патентов на изобретение в Российской Федерации и за рубежом:</v>
      </c>
      <c r="B464" s="101" t="str">
        <f ca="1">IFERROR(__xludf.DUMMYFUNCTION("""COMPUTED_VALUE"""),"индикатор")</f>
        <v>индикатор</v>
      </c>
    </row>
    <row r="465" spans="1:2" ht="13">
      <c r="A465" s="101" t="str">
        <f ca="1">IFERROR(__xludf.DUMMYFUNCTION("""COMPUTED_VALUE"""),"За счет использования инфраструктуры инновационной деятельности, стоящей на балансе организаций, ведущих исследования и разработки, увеличен объем полученных ими внебюджетных средств, в том числе не менее чем на:")</f>
        <v>За счет использования инфраструктуры инновационной деятельности, стоящей на балансе организаций, ведущих исследования и разработки, увеличен объем полученных ими внебюджетных средств, в том числе не менее чем на:</v>
      </c>
      <c r="B465" s="101" t="str">
        <f ca="1">IFERROR(__xludf.DUMMYFUNCTION("""COMPUTED_VALUE"""),"индикатор")</f>
        <v>индикатор</v>
      </c>
    </row>
    <row r="466" spans="1:2" ht="13">
      <c r="A466" s="101" t="str">
        <f ca="1">IFERROR(__xludf.DUMMYFUNCTION("""COMPUTED_VALUE"""),"Создано не менее 20 нейтронных станций на базе высокопоточного реактора ПИК")</f>
        <v>Создано не менее 20 нейтронных станций на базе высокопоточного реактора ПИК</v>
      </c>
      <c r="B466" s="101" t="str">
        <f ca="1">IFERROR(__xludf.DUMMYFUNCTION("""COMPUTED_VALUE"""),"индикатор")</f>
        <v>индикатор</v>
      </c>
    </row>
    <row r="467" spans="1:2" ht="13">
      <c r="A467" s="101" t="str">
        <f ca="1">IFERROR(__xludf.DUMMYFUNCTION("""COMPUTED_VALUE"""),"Завершена в 2024 году реализация в Российской Федерации не менее 5 масштабных научных проектов мирового уровня и получены результаты, направленные на прорывное решение ключевых исследовательских задач в мировой научной повестке")</f>
        <v>Завершена в 2024 году реализация в Российской Федерации не менее 5 масштабных научных проектов мирового уровня и получены результаты, направленные на прорывное решение ключевых исследовательских задач в мировой научной повестке</v>
      </c>
      <c r="B467" s="101" t="str">
        <f ca="1">IFERROR(__xludf.DUMMYFUNCTION("""COMPUTED_VALUE"""),"индикатор")</f>
        <v>индикатор</v>
      </c>
    </row>
    <row r="468" spans="1:2" ht="13">
      <c r="A468" s="101" t="str">
        <f ca="1">IFERROR(__xludf.DUMMYFUNCTION("""COMPUTED_VALUE"""),"Поддержаны научные проекты по приоритетам научно-технологического развития, 
 не менее 50 процентами из которых руководят молодые перспективные исследователи*, в том числе по годам нарастающим итогом**:
 * В рамках результата осуществляется поддержка прое"&amp;"ктов, реализация которых начата не ранее 2017 года, удовлетворяющих ключевым задачам и условиям данного результата
 ** Учитываются все проекты, реализуемые в рамках настоящего результата, в том числе завершенные ранее отчетного года")</f>
        <v>Поддержаны научные проекты по приоритетам научно-технологического развития, 
 не менее 50 процентами из которых руководят молодые перспективные исследователи*, в том числе по годам нарастающим итогом**:
 * В рамках результата осуществляется поддержка проектов, реализация которых начата не ранее 2017 года, удовлетворяющих ключевым задачам и условиям данного результата
 ** Учитываются все проекты, реализуемые в рамках настоящего результата, в том числе завершенные ранее отчетного года</v>
      </c>
      <c r="B468" s="101" t="str">
        <f ca="1">IFERROR(__xludf.DUMMYFUNCTION("""COMPUTED_VALUE"""),"индикатор")</f>
        <v>индикатор</v>
      </c>
    </row>
    <row r="469" spans="1:2" ht="13">
      <c r="A469" s="101" t="str">
        <f ca="1">IFERROR(__xludf.DUMMYFUNCTION("""COMPUTED_VALUE"""),"Количество прошедших обучение в центрах развития компетенций руководителей научных, научно-технических проектов и лабораторий составляет не менее 4 000 человек, в том числе в по годам нарастающим итогом:")</f>
        <v>Количество прошедших обучение в центрах развития компетенций руководителей научных, научно-технических проектов и лабораторий составляет не менее 4 000 человек, в том числе в по годам нарастающим итогом:</v>
      </c>
      <c r="B469" s="101" t="str">
        <f ca="1">IFERROR(__xludf.DUMMYFUNCTION("""COMPUTED_VALUE"""),"индикатор")</f>
        <v>индикатор</v>
      </c>
    </row>
    <row r="470" spans="1:2" ht="13">
      <c r="A470" s="101" t="str">
        <f ca="1">IFERROR(__xludf.DUMMYFUNCTION("""COMPUTED_VALUE"""),"Созданы лаборатории, не менее 30 процентами из которых руководят молодые перспективные исследователи, в том числе по годам нарастающим итогом:")</f>
        <v>Созданы лаборатории, не менее 30 процентами из которых руководят молодые перспективные исследователи, в том числе по годам нарастающим итогом:</v>
      </c>
      <c r="B470" s="101" t="str">
        <f ca="1">IFERROR(__xludf.DUMMYFUNCTION("""COMPUTED_VALUE"""),"индикатор")</f>
        <v>индикатор</v>
      </c>
    </row>
    <row r="471" spans="1:2" ht="13">
      <c r="A471" s="101" t="str">
        <f ca="1">IFERROR(__xludf.DUMMYFUNCTION("""COMPUTED_VALUE"""),"Количество лиц, включенных в кадровый резерв на замещение должностей руководителей и заместителей руководителей научных и образовательных организаций и прошедших обучение по программам подготовки управленческих кадров, составляет не менее 1150 человек, в "&amp;"том числе по годам нарастающим итогом:")</f>
        <v>Количество лиц, включенных в кадровый резерв на замещение должностей руководителей и заместителей руководителей научных и образовательных организаций и прошедших обучение по программам подготовки управленческих кадров, составляет не менее 1150 человек, в том числе по годам нарастающим итогом:</v>
      </c>
      <c r="B471" s="101" t="str">
        <f ca="1">IFERROR(__xludf.DUMMYFUNCTION("""COMPUTED_VALUE"""),"индикатор")</f>
        <v>индикатор</v>
      </c>
    </row>
    <row r="472" spans="1:2" ht="13">
      <c r="A472" s="101" t="str">
        <f ca="1">IFERROR(__xludf.DUMMYFUNCTION("""COMPUTED_VALUE"""),"Доля аспирантов, представивших к защите диссертацию на соискание ученой степени кандидата наук при освоении программы подготовки научных и научно-педагогических кадров в аспирантуре, увеличена:")</f>
        <v>Доля аспирантов, представивших к защите диссертацию на соискание ученой степени кандидата наук при освоении программы подготовки научных и научно-педагогических кадров в аспирантуре, увеличена:</v>
      </c>
      <c r="B472" s="101" t="str">
        <f ca="1">IFERROR(__xludf.DUMMYFUNCTION("""COMPUTED_VALUE"""),"индикатор")</f>
        <v>индикатор</v>
      </c>
    </row>
    <row r="473" spans="1:2" ht="13">
      <c r="A473" s="101" t="str">
        <f ca="1">IFERROR(__xludf.DUMMYFUNCTION("""COMPUTED_VALUE"""),"Доля диссертаций, основные научные результаты которых опубликованы в не менее 2 статьях в научных журналах, индексируемых в международных базах данных, от общего количества успешно защищенных диссертаций в отчетном году составляет:")</f>
        <v>Доля диссертаций, основные научные результаты которых опубликованы в не менее 2 статьях в научных журналах, индексируемых в международных базах данных, от общего количества успешно защищенных диссертаций в отчетном году составляет:</v>
      </c>
      <c r="B473" s="101" t="str">
        <f ca="1">IFERROR(__xludf.DUMMYFUNCTION("""COMPUTED_VALUE"""),"индикатор")</f>
        <v>индикатор</v>
      </c>
    </row>
    <row r="474" spans="1:2" ht="13">
      <c r="A474" s="101" t="str">
        <f ca="1">IFERROR(__xludf.DUMMYFUNCTION("""COMPUTED_VALUE"""),"Поддержаны не менее 1000 молодых перспективных исследователей в рамках стимулирования внутрироссийской академической мобильности с учетом задач пространственного развития Российской Федерации и опережающего развития приоритетных территорий, в том числе по"&amp;" годам нарастающим итогом:")</f>
        <v>Поддержаны не менее 1000 молодых перспективных исследователей в рамках стимулирования внутрироссийской академической мобильности с учетом задач пространственного развития Российской Федерации и опережающего развития приоритетных территорий, в том числе по годам нарастающим итогом:</v>
      </c>
      <c r="B474" s="101" t="str">
        <f ca="1">IFERROR(__xludf.DUMMYFUNCTION("""COMPUTED_VALUE"""),"индикатор")</f>
        <v>индикатор</v>
      </c>
    </row>
    <row r="475" spans="1:2" ht="13">
      <c r="A475" s="101" t="str">
        <f ca="1">IFERROR(__xludf.DUMMYFUNCTION("""COMPUTED_VALUE"""),"Увеличена доля молодых исследователей, работающих в организациях, ведущих исследования и разработки, в эквиваленте полной занятости на 25 процентов")</f>
        <v>Увеличена доля молодых исследователей, работающих в организациях, ведущих исследования и разработки, в эквиваленте полной занятости на 25 процентов</v>
      </c>
      <c r="B475" s="101" t="str">
        <f ca="1">IFERROR(__xludf.DUMMYFUNCTION("""COMPUTED_VALUE"""),"индикатор")</f>
        <v>индикатор</v>
      </c>
    </row>
    <row r="476" spans="1:2" ht="13">
      <c r="A476" s="101" t="str">
        <f ca="1">IFERROR(__xludf.DUMMYFUNCTION("""COMPUTED_VALUE"""),"Число аспирантов, успешно защитивших диссертационную работу и выбравших карьеру исследователя или преподавателя, увеличилось в не менее чем 1,25 раза")</f>
        <v>Число аспирантов, успешно защитивших диссертационную работу и выбравших карьеру исследователя или преподавателя, увеличилось в не менее чем 1,25 раза</v>
      </c>
      <c r="B476" s="101" t="str">
        <f ca="1">IFERROR(__xludf.DUMMYFUNCTION("""COMPUTED_VALUE"""),"индикатор")</f>
        <v>индикатор</v>
      </c>
    </row>
    <row r="477" spans="1:2" ht="13">
      <c r="A477" s="101" t="str">
        <f ca="1">IFERROR(__xludf.DUMMYFUNCTION("""COMPUTED_VALUE"""),"Количество поддержанных научных проектов и исследований в сфере общественно-политических наук консолидированным центром по субсидированию научных проектов и поддержке исследований в сфере общественно-политических наук составляет, в том числе по годам нара"&amp;"стающим итогом:")</f>
        <v>Количество поддержанных научных проектов и исследований в сфере общественно-политических наук консолидированным центром по субсидированию научных проектов и поддержке исследований в сфере общественно-политических наук составляет, в том числе по годам нарастающим итогом:</v>
      </c>
      <c r="B477" s="101" t="str">
        <f ca="1">IFERROR(__xludf.DUMMYFUNCTION("""COMPUTED_VALUE"""),"индикатор")</f>
        <v>индикатор</v>
      </c>
    </row>
    <row r="478" spans="1:2" ht="13">
      <c r="A478" s="101" t="str">
        <f ca="1">IFERROR(__xludf.DUMMYFUNCTION("""COMPUTED_VALUE"""),"Созданы лаборатории мирового уровня под руководством ведущих ученых с мировым именем, в том числе соотечественников, проживающих за рубежом, нарастающим итогом:")</f>
        <v>Созданы лаборатории мирового уровня под руководством ведущих ученых с мировым именем, в том числе соотечественников, проживающих за рубежом, нарастающим итогом:</v>
      </c>
      <c r="B478" s="101" t="str">
        <f ca="1">IFERROR(__xludf.DUMMYFUNCTION("""COMPUTED_VALUE"""),"индикатор")</f>
        <v>индикатор</v>
      </c>
    </row>
    <row r="479" spans="1:2" ht="13">
      <c r="A479" s="101" t="str">
        <f ca="1">IFERROR(__xludf.DUMMYFUNCTION("""COMPUTED_VALUE"""),"Реализован первый проект по созданию российской промышленной зоны в Египте")</f>
        <v>Реализован первый проект по созданию российской промышленной зоны в Египте</v>
      </c>
      <c r="B479" s="101" t="str">
        <f ca="1">IFERROR(__xludf.DUMMYFUNCTION("""COMPUTED_VALUE"""),"индикатор")</f>
        <v>индикатор</v>
      </c>
    </row>
    <row r="480" spans="1:2" ht="13">
      <c r="A480" s="101" t="str">
        <f ca="1">IFERROR(__xludf.DUMMYFUNCTION("""COMPUTED_VALUE"""),"Объем поддержанного в рамках возмещения расходов на транспортировку продукции экспорта составил не менее 320 млрд рублей к концу 2021 года")</f>
        <v>Объем поддержанного в рамках возмещения расходов на транспортировку продукции экспорта составил не менее 320 млрд рублей к концу 2021 года</v>
      </c>
      <c r="B480" s="101" t="str">
        <f ca="1">IFERROR(__xludf.DUMMYFUNCTION("""COMPUTED_VALUE"""),"индикатор")</f>
        <v>индикатор</v>
      </c>
    </row>
    <row r="481" spans="1:2" ht="13">
      <c r="A481" s="101" t="str">
        <f ca="1">IFERROR(__xludf.DUMMYFUNCTION("""COMPUTED_VALUE"""),"Обеспечено предоставление гарантии остаточной стоимости для поставленных на экспорт воздушных судов в объеме 18 штук к концу 2021 года.")</f>
        <v>Обеспечено предоставление гарантии остаточной стоимости для поставленных на экспорт воздушных судов в объеме 18 штук к концу 2021 года.</v>
      </c>
      <c r="B481" s="101" t="str">
        <f ca="1">IFERROR(__xludf.DUMMYFUNCTION("""COMPUTED_VALUE"""),"индикатор")</f>
        <v>индикатор</v>
      </c>
    </row>
    <row r="482" spans="1:2" ht="13">
      <c r="A482" s="101" t="str">
        <f ca="1">IFERROR(__xludf.DUMMYFUNCTION("""COMPUTED_VALUE"""),"Обеспечена реализация системы послепродажного обслуживания воздушных судов и подготовки авиационного персонала для воздушных судов для поставленных на экспорт воздушных судов в объеме 23 штук к концу 2021 года.")</f>
        <v>Обеспечена реализация системы послепродажного обслуживания воздушных судов и подготовки авиационного персонала для воздушных судов для поставленных на экспорт воздушных судов в объеме 23 штук к концу 2021 года.</v>
      </c>
      <c r="B482" s="101" t="str">
        <f ca="1">IFERROR(__xludf.DUMMYFUNCTION("""COMPUTED_VALUE"""),"индикатор")</f>
        <v>индикатор</v>
      </c>
    </row>
    <row r="483" spans="1:2" ht="13">
      <c r="A483" s="101" t="str">
        <f ca="1">IFERROR(__xludf.DUMMYFUNCTION("""COMPUTED_VALUE"""),"Объем финансирования, предоставленного АО РОСЭКСИМБАНК в рамках льготного кредитования производства высокотехнологичной продукции, составил не менее 349,2 млрд руб. к концу 2024 года")</f>
        <v>Объем финансирования, предоставленного АО РОСЭКСИМБАНК в рамках льготного кредитования производства высокотехнологичной продукции, составил не менее 349,2 млрд руб. к концу 2024 года</v>
      </c>
      <c r="B483" s="101" t="str">
        <f ca="1">IFERROR(__xludf.DUMMYFUNCTION("""COMPUTED_VALUE"""),"индикатор")</f>
        <v>индикатор</v>
      </c>
    </row>
    <row r="484" spans="1:2" ht="13">
      <c r="A484" s="101" t="str">
        <f ca="1">IFERROR(__xludf.DUMMYFUNCTION("""COMPUTED_VALUE"""),"В целях реализации корпоративных программ конкурентоспособности оказана государственная поддержка российским организациям до 21 января 2019 г. (с учетом положений протоколов совещаний у Заместителя Председателя Правительства Российской Федерации Д.Н. Коза"&amp;"ка от 21 января 2019 г. № ДК-П9-3пр и от 22 марта 2019 г. № ДК-П6-49пр об объединении механизма поддержки корпоративных программ повышения конкурентоспособности с механизмом поддержки организаций в целях компенсации части процентных ставок по экспортным к"&amp;"редитам и иным инструментам финансирования, аналогичным кредиту по экономической сути).")</f>
        <v>В целях реализации корпоративных программ конкурентоспособности оказана государственная поддержка российским организациям до 21 января 2019 г. (с учетом положений протоколов совещаний у Заместителя Председателя Правительства Российской Федерации Д.Н. Козака от 21 января 2019 г. № ДК-П9-3пр и от 22 марта 2019 г. № ДК-П6-49пр об объединении механизма поддержки корпоративных программ повышения конкурентоспособности с механизмом поддержки организаций в целях компенсации части процентных ставок по экспортным кредитам и иным инструментам финансирования, аналогичным кредиту по экономической сути).</v>
      </c>
      <c r="B484" s="101" t="str">
        <f ca="1">IFERROR(__xludf.DUMMYFUNCTION("""COMPUTED_VALUE"""),"индикатор")</f>
        <v>индикатор</v>
      </c>
    </row>
    <row r="485" spans="1:2" ht="13">
      <c r="A485" s="101" t="str">
        <f ca="1">IFERROR(__xludf.DUMMYFUNCTION("""COMPUTED_VALUE"""),"В целях реализации корпоративных программ конкурентоспособности оказана государственная поддержка российским организациям до 21 января 2019 г. (с учетом положений протоколов совещаний у Заместителя Председателя Правительства Российской Федерации Д.Н. Коза"&amp;"ка от 21 января 2019 г. № ДК-П9-3пр и от 22 марта 2019 г. № ДК-П6-49пр об объединении механизма поддержки корпоративных программ повышения конкурентоспособности с механизмом поддержки организаций в целях компенсации части процентных ставок по экспортным к"&amp;"редитам и иным инструментам финансирования, аналогичным кредиту по экономической сути).")</f>
        <v>В целях реализации корпоративных программ конкурентоспособности оказана государственная поддержка российским организациям до 21 января 2019 г. (с учетом положений протоколов совещаний у Заместителя Председателя Правительства Российской Федерации Д.Н. Козака от 21 января 2019 г. № ДК-П9-3пр и от 22 марта 2019 г. № ДК-П6-49пр об объединении механизма поддержки корпоративных программ повышения конкурентоспособности с механизмом поддержки организаций в целях компенсации части процентных ставок по экспортным кредитам и иным инструментам финансирования, аналогичным кредиту по экономической сути).</v>
      </c>
      <c r="B485" s="101" t="str">
        <f ca="1">IFERROR(__xludf.DUMMYFUNCTION("""COMPUTED_VALUE"""),"индикатор")</f>
        <v>индикатор</v>
      </c>
    </row>
    <row r="486" spans="1:2" ht="13">
      <c r="A486" s="101" t="str">
        <f ca="1">IFERROR(__xludf.DUMMYFUNCTION("""COMPUTED_VALUE"""),"Оказана государственная поддержка российским организациям транспортного машиностроения в целях реализации проектов по производству не менее 1120 пассажирских вагонов, в том числе вагонокомплектов, к концу 2022 года")</f>
        <v>Оказана государственная поддержка российским организациям транспортного машиностроения в целях реализации проектов по производству не менее 1120 пассажирских вагонов, в том числе вагонокомплектов, к концу 2022 года</v>
      </c>
      <c r="B486" s="101" t="str">
        <f ca="1">IFERROR(__xludf.DUMMYFUNCTION("""COMPUTED_VALUE"""),"индикатор")</f>
        <v>индикатор</v>
      </c>
    </row>
    <row r="487" spans="1:2" ht="13">
      <c r="A487" s="101" t="str">
        <f ca="1">IFERROR(__xludf.DUMMYFUNCTION("""COMPUTED_VALUE"""),"Объем выданных кредитов, связанных с поддержкой производства высокотехнологичной продукции, составил 60 млрд рублей к концу 2024 года")</f>
        <v>Объем выданных кредитов, связанных с поддержкой производства высокотехнологичной продукции, составил 60 млрд рублей к концу 2024 года</v>
      </c>
      <c r="B487" s="101" t="str">
        <f ca="1">IFERROR(__xludf.DUMMYFUNCTION("""COMPUTED_VALUE"""),"индикатор")</f>
        <v>индикатор</v>
      </c>
    </row>
    <row r="488" spans="1:2" ht="13">
      <c r="A488" s="101" t="str">
        <f ca="1">IFERROR(__xludf.DUMMYFUNCTION("""COMPUTED_VALUE"""),"В целях реализации корпоративных программ конкурентоспособности оказана государственная поддержка российским организациям. Объем поддержанного экспорта к концу 2024 года составил 5 021 млрд. рублей")</f>
        <v>В целях реализации корпоративных программ конкурентоспособности оказана государственная поддержка российским организациям. Объем поддержанного экспорта к концу 2024 года составил 5 021 млрд. рублей</v>
      </c>
      <c r="B488" s="101" t="str">
        <f ca="1">IFERROR(__xludf.DUMMYFUNCTION("""COMPUTED_VALUE"""),"индикатор")</f>
        <v>индикатор</v>
      </c>
    </row>
    <row r="489" spans="1:2" ht="13">
      <c r="A489" s="101" t="str">
        <f ca="1">IFERROR(__xludf.DUMMYFUNCTION("""COMPUTED_VALUE"""),"К концу 2019 года в международных выставочно-ярмарочных и конгрессных мероприятиях, а также в международных деловых миссиях, обеспеченных поддержкой, приняло участие не менее 750 компаний-экспортеров.")</f>
        <v>К концу 2019 года в международных выставочно-ярмарочных и конгрессных мероприятиях, а также в международных деловых миссиях, обеспеченных поддержкой, приняло участие не менее 750 компаний-экспортеров.</v>
      </c>
      <c r="B489" s="101" t="str">
        <f ca="1">IFERROR(__xludf.DUMMYFUNCTION("""COMPUTED_VALUE"""),"индикатор")</f>
        <v>индикатор</v>
      </c>
    </row>
    <row r="490" spans="1:2" ht="13">
      <c r="A490" s="101" t="str">
        <f ca="1">IFERROR(__xludf.DUMMYFUNCTION("""COMPUTED_VALUE"""),"Объем выданных ФГАУ ""Российский фонд технологического развития"" займов на развитие экспорта составит не менее 23 997,2 млн руб. к концу 2022 года")</f>
        <v>Объем выданных ФГАУ "Российский фонд технологического развития" займов на развитие экспорта составит не менее 23 997,2 млн руб. к концу 2022 года</v>
      </c>
      <c r="B490" s="101" t="str">
        <f ca="1">IFERROR(__xludf.DUMMYFUNCTION("""COMPUTED_VALUE"""),"индикатор")</f>
        <v>индикатор</v>
      </c>
    </row>
    <row r="491" spans="1:2" ht="13">
      <c r="A491" s="101" t="str">
        <f ca="1">IFERROR(__xludf.DUMMYFUNCTION("""COMPUTED_VALUE"""),"К концу 2021 году поддержано не менее 227 организации в части возмещения затрат, связанных с направлением заявок на регистрацию объектов интеллектуальной собственности")</f>
        <v>К концу 2021 году поддержано не менее 227 организации в части возмещения затрат, связанных с направлением заявок на регистрацию объектов интеллектуальной собственности</v>
      </c>
      <c r="B491" s="101" t="str">
        <f ca="1">IFERROR(__xludf.DUMMYFUNCTION("""COMPUTED_VALUE"""),"индикатор")</f>
        <v>индикатор</v>
      </c>
    </row>
    <row r="492" spans="1:2" ht="13">
      <c r="A492" s="101" t="str">
        <f ca="1">IFERROR(__xludf.DUMMYFUNCTION("""COMPUTED_VALUE"""),"К 2024 году произведено 1 опытное воздушное судно в рамках реализации проекта по разработке турбовинтового регионального самолета")</f>
        <v>К 2024 году произведено 1 опытное воздушное судно в рамках реализации проекта по разработке турбовинтового регионального самолета</v>
      </c>
      <c r="B492" s="101" t="str">
        <f ca="1">IFERROR(__xludf.DUMMYFUNCTION("""COMPUTED_VALUE"""),"индикатор")</f>
        <v>индикатор</v>
      </c>
    </row>
    <row r="493" spans="1:2" ht="13">
      <c r="A493" s="101" t="str">
        <f ca="1">IFERROR(__xludf.DUMMYFUNCTION("""COMPUTED_VALUE"""),"Разработана нормативная правовая база для КПМК в АПК.
 Количество заключенных КПМК в 2019 г. составило не менее 50 штук, 
 в том числе по ключевым отраслям:
 - рыба и ракообразные - 10;
 - масложировая продукция - 10;
 - продукция пищевой перерабатывающей"&amp;" промышленности - 14;
 - зерновая продукция и прочее - 16.")</f>
        <v>Разработана нормативная правовая база для КПМК в АПК.
 Количество заключенных КПМК в 2019 г. составило не менее 50 штук, 
 в том числе по ключевым отраслям:
 - рыба и ракообразные - 10;
 - масложировая продукция - 10;
 - продукция пищевой перерабатывающей промышленности - 14;
 - зерновая продукция и прочее - 16.</v>
      </c>
      <c r="B493" s="101" t="str">
        <f ca="1">IFERROR(__xludf.DUMMYFUNCTION("""COMPUTED_VALUE"""),"индикатор")</f>
        <v>индикатор</v>
      </c>
    </row>
    <row r="494" spans="1:2" ht="13">
      <c r="A494" s="101" t="str">
        <f ca="1">IFERROR(__xludf.DUMMYFUNCTION("""COMPUTED_VALUE"""),"Количество заключенных КПМК в 2020 г. составило не менее 25 штук, 
 в том числе по ключевым отраслям:
 - рыба и ракообразные - 5;
 - масложировая продукция - 5;
 - продукция пищевой перерабатывающей промышленности - 7;
 - зерновая продукция и прочее - 8.")</f>
        <v>Количество заключенных КПМК в 2020 г. составило не менее 25 штук, 
 в том числе по ключевым отраслям:
 - рыба и ракообразные - 5;
 - масложировая продукция - 5;
 - продукция пищевой перерабатывающей промышленности - 7;
 - зерновая продукция и прочее - 8.</v>
      </c>
      <c r="B494" s="101" t="str">
        <f ca="1">IFERROR(__xludf.DUMMYFUNCTION("""COMPUTED_VALUE"""),"индикатор")</f>
        <v>индикатор</v>
      </c>
    </row>
    <row r="495" spans="1:2" ht="13">
      <c r="A495" s="101" t="str">
        <f ca="1">IFERROR(__xludf.DUMMYFUNCTION("""COMPUTED_VALUE"""),"Количество заключенных КПМК в 2021 г. составило не менее 25 штук, 
 в том числе по ключевым отраслям:
 - рыба и ракообразные - 5;
 - масложировая продукция - 5;
 - продукция пищевой перерабатывающей промышленности - 7;
 - зерновая продукция и прочее - 8.")</f>
        <v>Количество заключенных КПМК в 2021 г. составило не менее 25 штук, 
 в том числе по ключевым отраслям:
 - рыба и ракообразные - 5;
 - масложировая продукция - 5;
 - продукция пищевой перерабатывающей промышленности - 7;
 - зерновая продукция и прочее - 8.</v>
      </c>
      <c r="B495" s="101" t="str">
        <f ca="1">IFERROR(__xludf.DUMMYFUNCTION("""COMPUTED_VALUE"""),"индикатор")</f>
        <v>индикатор</v>
      </c>
    </row>
    <row r="496" spans="1:2" ht="13">
      <c r="A496" s="101" t="str">
        <f ca="1">IFERROR(__xludf.DUMMYFUNCTION("""COMPUTED_VALUE"""),"Выполнена инвестиционная программа экспортного развития АПК, объем экспорта сельскохозяйственной и пищевой продукции составил 45 млрд. долларов США по итогам 2024 года.")</f>
        <v>Выполнена инвестиционная программа экспортного развития АПК, объем экспорта сельскохозяйственной и пищевой продукции составил 45 млрд. долларов США по итогам 2024 года.</v>
      </c>
      <c r="B496" s="101" t="str">
        <f ca="1">IFERROR(__xludf.DUMMYFUNCTION("""COMPUTED_VALUE"""),"индикатор")</f>
        <v>индикатор</v>
      </c>
    </row>
    <row r="497" spans="1:2" ht="13">
      <c r="A497" s="101" t="str">
        <f ca="1">IFERROR(__xludf.DUMMYFUNCTION("""COMPUTED_VALUE"""),"С целью наращивания объемов производства экспортно ориентированной продукции АПК, уполномоченными банками к концу 2024 года выдано 2 418,75млрд рублей кредитных ресурсов")</f>
        <v>С целью наращивания объемов производства экспортно ориентированной продукции АПК, уполномоченными банками к концу 2024 года выдано 2 418,75млрд рублей кредитных ресурсов</v>
      </c>
      <c r="B497" s="101" t="str">
        <f ca="1">IFERROR(__xludf.DUMMYFUNCTION("""COMPUTED_VALUE"""),"индикатор")</f>
        <v>индикатор</v>
      </c>
    </row>
    <row r="498" spans="1:2" ht="13">
      <c r="A498" s="101" t="str">
        <f ca="1">IFERROR(__xludf.DUMMYFUNCTION("""COMPUTED_VALUE"""),"К концу 2024 года введено в эксплуатацию мелиорируемых земель для выращивания экспортно-ориентированной сельскохозяйственной продукции за счет реконструкции, технического перевооружения и строительства новых мелиоративных систем общего и индивидуального п"&amp;"ользования и вовлечено в оборот выбывших сельскохозяйственных угодий для выращивания экспортно-ориентированной сельскохозяйственной продукции за счет проведения культуртехнических мероприятий в объеме не менее 670 тыс. га")</f>
        <v>К концу 2024 года введено в эксплуатацию мелиорируемых земель для выращивания экспортно-ориентированной сельскохозяйственной продукции за счет реконструкции, технического перевооружения и строительства новых мелиоративных систем общего и индивидуального пользования и вовлечено в оборот выбывших сельскохозяйственных угодий для выращивания экспортно-ориентированной сельскохозяйственной продукции за счет проведения культуртехнических мероприятий в объеме не менее 670 тыс. га</v>
      </c>
      <c r="B498" s="101" t="str">
        <f ca="1">IFERROR(__xludf.DUMMYFUNCTION("""COMPUTED_VALUE"""),"индикатор")</f>
        <v>индикатор</v>
      </c>
    </row>
    <row r="499" spans="1:2" ht="13">
      <c r="A499" s="101" t="str">
        <f ca="1">IFERROR(__xludf.DUMMYFUNCTION("""COMPUTED_VALUE"""),"К концу 2024 года завершена реконструкция (строительство), техническое перевооружение 31 объекта мелиоративного комплекса государственной собственности Российской Федерации")</f>
        <v>К концу 2024 года завершена реконструкция (строительство), техническое перевооружение 31 объекта мелиоративного комплекса государственной собственности Российской Федерации</v>
      </c>
      <c r="B499" s="101" t="str">
        <f ca="1">IFERROR(__xludf.DUMMYFUNCTION("""COMPUTED_VALUE"""),"индикатор")</f>
        <v>индикатор</v>
      </c>
    </row>
    <row r="500" spans="1:2" ht="13">
      <c r="A500" s="101" t="str">
        <f ca="1">IFERROR(__xludf.DUMMYFUNCTION("""COMPUTED_VALUE"""),"Объем выданных кредитов организациям-экспортерам продукции агропромышленного комплекса за 2019 г. составит не менее 100 млрд рублей")</f>
        <v>Объем выданных кредитов организациям-экспортерам продукции агропромышленного комплекса за 2019 г. составит не менее 100 млрд рублей</v>
      </c>
      <c r="B500" s="101" t="str">
        <f ca="1">IFERROR(__xludf.DUMMYFUNCTION("""COMPUTED_VALUE"""),"индикатор")</f>
        <v>индикатор</v>
      </c>
    </row>
    <row r="501" spans="1:2" ht="13">
      <c r="A501" s="101" t="str">
        <f ca="1">IFERROR(__xludf.DUMMYFUNCTION("""COMPUTED_VALUE"""),"С целью наращивания объемов производства экспортно ориентированной продукции АПК и направления ее на экспорт за счет технического перевооружения отрасли и снижения финансовой нагрузки на лизингополучателей сумма новых договоров лизинга средств производств"&amp;"а для АПК на конец 2020 г. составит не менее 10 млрд руб.")</f>
        <v>С целью наращивания объемов производства экспортно ориентированной продукции АПК и направления ее на экспорт за счет технического перевооружения отрасли и снижения финансовой нагрузки на лизингополучателей сумма новых договоров лизинга средств производства для АПК на конец 2020 г. составит не менее 10 млрд руб.</v>
      </c>
      <c r="B501" s="101" t="str">
        <f ca="1">IFERROR(__xludf.DUMMYFUNCTION("""COMPUTED_VALUE"""),"индикатор")</f>
        <v>индикатор</v>
      </c>
    </row>
    <row r="502" spans="1:2" ht="13">
      <c r="A502" s="101" t="str">
        <f ca="1">IFERROR(__xludf.DUMMYFUNCTION("""COMPUTED_VALUE"""),"Организованы регулярные маршруты отправок сельскохозяйственной и пищевой продукции на экспорт,
 тыс. т объема экспорта нарастающим итогом")</f>
        <v>Организованы регулярные маршруты отправок сельскохозяйственной и пищевой продукции на экспорт,
 тыс. т объема экспорта нарастающим итогом</v>
      </c>
      <c r="B502" s="101" t="str">
        <f ca="1">IFERROR(__xludf.DUMMYFUNCTION("""COMPUTED_VALUE"""),"индикатор")</f>
        <v>индикатор</v>
      </c>
    </row>
    <row r="503" spans="1:2" ht="13">
      <c r="A503" s="101" t="str">
        <f ca="1">IFERROR(__xludf.DUMMYFUNCTION("""COMPUTED_VALUE"""),"Скорректирована государственная поддержка российских организаций в виде компенсации части затрат на транспортировку продукции АПК за счет расширения субсидирования экспортных перевозок продукции АПК. Объем просубсидированной перевозки составит 30,03 млн т"&amp;"онн продукции к концу 2024 года")</f>
        <v>Скорректирована государственная поддержка российских организаций в виде компенсации части затрат на транспортировку продукции АПК за счет расширения субсидирования экспортных перевозок продукции АПК. Объем просубсидированной перевозки составит 30,03 млн тонн продукции к концу 2024 года</v>
      </c>
      <c r="B503" s="101" t="str">
        <f ca="1">IFERROR(__xludf.DUMMYFUNCTION("""COMPUTED_VALUE"""),"индикатор")</f>
        <v>индикатор</v>
      </c>
    </row>
    <row r="504" spans="1:2" ht="13">
      <c r="A504" s="101" t="str">
        <f ca="1">IFERROR(__xludf.DUMMYFUNCTION("""COMPUTED_VALUE"""),"Введены в эксплуатацию экспортно ориентированные объединенные распределительные центры, ед. нарастающим итогом")</f>
        <v>Введены в эксплуатацию экспортно ориентированные объединенные распределительные центры, ед. нарастающим итогом</v>
      </c>
      <c r="B504" s="101" t="str">
        <f ca="1">IFERROR(__xludf.DUMMYFUNCTION("""COMPUTED_VALUE"""),"индикатор")</f>
        <v>индикатор</v>
      </c>
    </row>
    <row r="505" spans="1:2" ht="13">
      <c r="A505" s="101" t="str">
        <f ca="1">IFERROR(__xludf.DUMMYFUNCTION("""COMPUTED_VALUE"""),"Скорректирован объем господдержки за счет увеличения доли перевозок продукции АПК.")</f>
        <v>Скорректирован объем господдержки за счет увеличения доли перевозок продукции АПК.</v>
      </c>
      <c r="B505" s="101" t="str">
        <f ca="1">IFERROR(__xludf.DUMMYFUNCTION("""COMPUTED_VALUE"""),"индикатор")</f>
        <v>индикатор</v>
      </c>
    </row>
    <row r="506" spans="1:2" ht="13">
      <c r="A506" s="101" t="str">
        <f ca="1">IFERROR(__xludf.DUMMYFUNCTION("""COMPUTED_VALUE"""),"Признана регионализация Российской Федерации по болезням птиц, крупного рогатого скота и (или) свиней не менее чем в 5 (пяти) из следующих стран: Китай, Республика Корея, Япония, Турция, Бахрейн, Кувейт, Оман, Катар, Саудовская Аравия, ОАЭ, Иран, Ирак, Ин"&amp;"дия и другие с учетом эпизоотической обстановки в Российской Федерации.")</f>
        <v>Признана регионализация Российской Федерации по болезням птиц, крупного рогатого скота и (или) свиней не менее чем в 5 (пяти) из следующих стран: Китай, Республика Корея, Япония, Турция, Бахрейн, Кувейт, Оман, Катар, Саудовская Аравия, ОАЭ, Иран, Ирак, Индия и другие с учетом эпизоотической обстановки в Российской Федерации.</v>
      </c>
      <c r="B506" s="101" t="str">
        <f ca="1">IFERROR(__xludf.DUMMYFUNCTION("""COMPUTED_VALUE"""),"индикатор")</f>
        <v>индикатор</v>
      </c>
    </row>
    <row r="507" spans="1:2" ht="13">
      <c r="A507" s="101" t="str">
        <f ca="1">IFERROR(__xludf.DUMMYFUNCTION("""COMPUTED_VALUE"""),"Согласованы ветеринарные сертификаты по следующим видам продукции: мясо птицы, свинина, говядина, молочная продукция, корма для животных и/или другие товары, подлежащие ветеринарному государственному надзору, - не менее чем в 5 (пять) из следующих стран: "&amp;"Китай, Республика Корея, Япония, Турция, Бахрейн, Кувейт, Оман, Катар, Саудовская Аравия, ОАЭ, Иран, Ирак, Индия и другие.")</f>
        <v>Согласованы ветеринарные сертификаты по следующим видам продукции: мясо птицы, свинина, говядина, молочная продукция, корма для животных и/или другие товары, подлежащие ветеринарному государственному надзору, - не менее чем в 5 (пять) из следующих стран: Китай, Республика Корея, Япония, Турция, Бахрейн, Кувейт, Оман, Катар, Саудовская Аравия, ОАЭ, Иран, Ирак, Индия и другие.</v>
      </c>
      <c r="B507" s="101" t="str">
        <f ca="1">IFERROR(__xludf.DUMMYFUNCTION("""COMPUTED_VALUE"""),"индикатор")</f>
        <v>индикатор</v>
      </c>
    </row>
    <row r="508" spans="1:2" ht="13">
      <c r="A508" s="101" t="str">
        <f ca="1">IFERROR(__xludf.DUMMYFUNCTION("""COMPUTED_VALUE"""),"Согласованы разрешительные документы, подтверждающие соответствие санитарно-гигиеническим (эпидемиологическим) требованиям по следующим видам продукции: мясо птицы, свинина, говядина, молочная продукция и/или другие товары, подлежащие санитарно-гигиеничес"&amp;"кому (эпидемиологическому) контролю, - не менее чем в 5 (пять) из следующих стран: Китай, Республика Корея, Япония, Турция, Бахрейн, Кувейт, Оман, Катар, Саудовская Аравия, ОАЭ, Иран, Ирак, Индия и другие.")</f>
        <v>Согласованы разрешительные документы, подтверждающие соответствие санитарно-гигиеническим (эпидемиологическим) требованиям по следующим видам продукции: мясо птицы, свинина, говядина, молочная продукция и/или другие товары, подлежащие санитарно-гигиеническому (эпидемиологическому) контролю, - не менее чем в 5 (пять) из следующих стран: Китай, Республика Корея, Япония, Турция, Бахрейн, Кувейт, Оман, Катар, Саудовская Аравия, ОАЭ, Иран, Ирак, Индия и другие.</v>
      </c>
      <c r="B508" s="101" t="str">
        <f ca="1">IFERROR(__xludf.DUMMYFUNCTION("""COMPUTED_VALUE"""),"индикатор")</f>
        <v>индикатор</v>
      </c>
    </row>
    <row r="509" spans="1:2" ht="13">
      <c r="A509" s="101" t="str">
        <f ca="1">IFERROR(__xludf.DUMMYFUNCTION("""COMPUTED_VALUE"""),"К концу 2024 года осуществлено субсидирование не менее чем 1038 заявок российских организаций с целью компенсации части затрат, связанных с сертификацией продукции агропромышленного комплекса на внешних рынках")</f>
        <v>К концу 2024 года осуществлено субсидирование не менее чем 1038 заявок российских организаций с целью компенсации части затрат, связанных с сертификацией продукции агропромышленного комплекса на внешних рынках</v>
      </c>
      <c r="B509" s="101" t="str">
        <f ca="1">IFERROR(__xludf.DUMMYFUNCTION("""COMPUTED_VALUE"""),"индикатор")</f>
        <v>индикатор</v>
      </c>
    </row>
    <row r="510" spans="1:2" ht="13">
      <c r="A510" s="101" t="str">
        <f ca="1">IFERROR(__xludf.DUMMYFUNCTION("""COMPUTED_VALUE"""),"К концу 2024 года подготовлено 30 отчетов по обеспечению приобретения оборудования и иных организационных мероприятий")</f>
        <v>К концу 2024 года подготовлено 30 отчетов по обеспечению приобретения оборудования и иных организационных мероприятий</v>
      </c>
      <c r="B510" s="101" t="str">
        <f ca="1">IFERROR(__xludf.DUMMYFUNCTION("""COMPUTED_VALUE"""),"индикатор")</f>
        <v>индикатор</v>
      </c>
    </row>
    <row r="511" spans="1:2" ht="13">
      <c r="A511" s="101" t="str">
        <f ca="1">IFERROR(__xludf.DUMMYFUNCTION("""COMPUTED_VALUE"""),"К концу 2024 года подготовлено 30 отчетов по лабораторным исследованиям по анализу безопасности сельскохозяйственной продукции и продовольствия направляемой на экспорт")</f>
        <v>К концу 2024 года подготовлено 30 отчетов по лабораторным исследованиям по анализу безопасности сельскохозяйственной продукции и продовольствия направляемой на экспорт</v>
      </c>
      <c r="B511" s="101" t="str">
        <f ca="1">IFERROR(__xludf.DUMMYFUNCTION("""COMPUTED_VALUE"""),"индикатор")</f>
        <v>индикатор</v>
      </c>
    </row>
    <row r="512" spans="1:2" ht="13">
      <c r="A512" s="101" t="str">
        <f ca="1">IFERROR(__xludf.DUMMYFUNCTION("""COMPUTED_VALUE"""),"К концу 2024 года подготовлено 24 отчета о выполнении обеспечения обучающих и организационных мероприятий")</f>
        <v>К концу 2024 года подготовлено 24 отчета о выполнении обеспечения обучающих и организационных мероприятий</v>
      </c>
      <c r="B512" s="101" t="str">
        <f ca="1">IFERROR(__xludf.DUMMYFUNCTION("""COMPUTED_VALUE"""),"индикатор")</f>
        <v>индикатор</v>
      </c>
    </row>
    <row r="513" spans="1:2" ht="13">
      <c r="A513" s="101" t="str">
        <f ca="1">IFERROR(__xludf.DUMMYFUNCTION("""COMPUTED_VALUE"""),"К концу 2024 года аккредитовано в национальной системе аккредитации не менее 15 ветеринарных лабораторий, подведомственных органам исполнительной власти субъектов Российской Федерации, осуществляющих экспорт продукции АПК")</f>
        <v>К концу 2024 года аккредитовано в национальной системе аккредитации не менее 15 ветеринарных лабораторий, подведомственных органам исполнительной власти субъектов Российской Федерации, осуществляющих экспорт продукции АПК</v>
      </c>
      <c r="B513" s="101" t="str">
        <f ca="1">IFERROR(__xludf.DUMMYFUNCTION("""COMPUTED_VALUE"""),"индикатор")</f>
        <v>индикатор</v>
      </c>
    </row>
    <row r="514" spans="1:2" ht="13">
      <c r="A514" s="101" t="str">
        <f ca="1">IFERROR(__xludf.DUMMYFUNCTION("""COMPUTED_VALUE"""),"Количество организаций, получивших поддержку в продвижении продукции АПК на внешние рынки за счёт средств, предоставляемых АО ""РЭЦ"" в виде субсидии составило 1 099 штук")</f>
        <v>Количество организаций, получивших поддержку в продвижении продукции АПК на внешние рынки за счёт средств, предоставляемых АО "РЭЦ" в виде субсидии составило 1 099 штук</v>
      </c>
      <c r="B514" s="101" t="str">
        <f ca="1">IFERROR(__xludf.DUMMYFUNCTION("""COMPUTED_VALUE"""),"индикатор")</f>
        <v>индикатор</v>
      </c>
    </row>
    <row r="515" spans="1:2" ht="13">
      <c r="A515" s="101" t="str">
        <f ca="1">IFERROR(__xludf.DUMMYFUNCTION("""COMPUTED_VALUE"""),"К концу 2024 года разработаны и утверждены не менее 12 стратегий продвижения приоритетных продуктовых групп на внешние рынки с программой их рекламно-информационного продвижения (в соответствии с протоколом проектного комитета национального проекта ""Межд"&amp;"ународная кооперация и экспорт"" от 26 ноября 2018 г. № 4)")</f>
        <v>К концу 2024 года разработаны и утверждены не менее 12 стратегий продвижения приоритетных продуктовых групп на внешние рынки с программой их рекламно-информационного продвижения (в соответствии с протоколом проектного комитета национального проекта "Международная кооперация и экспорт" от 26 ноября 2018 г. № 4)</v>
      </c>
      <c r="B515" s="101" t="str">
        <f ca="1">IFERROR(__xludf.DUMMYFUNCTION("""COMPUTED_VALUE"""),"индикатор")</f>
        <v>индикатор</v>
      </c>
    </row>
    <row r="516" spans="1:2" ht="13">
      <c r="A516" s="101" t="str">
        <f ca="1">IFERROR(__xludf.DUMMYFUNCTION("""COMPUTED_VALUE"""),"К концу 2024 году ФГБУ «Агроэкспорт» разработаны 917 отчетов об обеспечении содействия Минсельхозу России
 в реализации его полномочий по осуществлению государственной аграрной политики и нормативно-правовому регулированию в сфере развития экспорта продук"&amp;"ции агропромышленного и рыбохозяйственного комплексов в рамках федерального проекта «Экспорт продукции АПК»")</f>
        <v>К концу 2024 году ФГБУ «Агроэкспорт» разработаны 917 отчетов об обеспечении содействия Минсельхозу России
 в реализации его полномочий по осуществлению государственной аграрной политики и нормативно-правовому регулированию в сфере развития экспорта продукции агропромышленного и рыбохозяйственного комплексов в рамках федерального проекта «Экспорт продукции АПК»</v>
      </c>
      <c r="B516" s="101" t="str">
        <f ca="1">IFERROR(__xludf.DUMMYFUNCTION("""COMPUTED_VALUE"""),"индикатор")</f>
        <v>индикатор</v>
      </c>
    </row>
    <row r="517" spans="1:2" ht="13">
      <c r="A517" s="101" t="str">
        <f ca="1">IFERROR(__xludf.DUMMYFUNCTION("""COMPUTED_VALUE"""),"К концу 2021 года проведено не менее 7 научно-исследовательских работ по изучению потенциальных рынков сбыта продукции российского агропромышленного комплекса (в соответствии с протоколом проектного комитета национального проекта ""Международная коопераци"&amp;"я и экспорт"" от 26 ноября 2018 г. № 4)")</f>
        <v>К концу 2021 года проведено не менее 7 научно-исследовательских работ по изучению потенциальных рынков сбыта продукции российского агропромышленного комплекса (в соответствии с протоколом проектного комитета национального проекта "Международная кооперация и экспорт" от 26 ноября 2018 г. № 4)</v>
      </c>
      <c r="B517" s="101" t="str">
        <f ca="1">IFERROR(__xludf.DUMMYFUNCTION("""COMPUTED_VALUE"""),"индикатор")</f>
        <v>индикатор</v>
      </c>
    </row>
    <row r="518" spans="1:2" ht="13">
      <c r="A518" s="101" t="str">
        <f ca="1">IFERROR(__xludf.DUMMYFUNCTION("""COMPUTED_VALUE"""),"Создана сеть представителей Минсельхоза России - атташе по АПК в количестве не менее 50 штатных единиц.")</f>
        <v>Создана сеть представителей Минсельхоза России - атташе по АПК в количестве не менее 50 штатных единиц.</v>
      </c>
      <c r="B518" s="101" t="str">
        <f ca="1">IFERROR(__xludf.DUMMYFUNCTION("""COMPUTED_VALUE"""),"индикатор")</f>
        <v>индикатор</v>
      </c>
    </row>
    <row r="519" spans="1:2" ht="13">
      <c r="A519" s="101" t="str">
        <f ca="1">IFERROR(__xludf.DUMMYFUNCTION("""COMPUTED_VALUE"""),"Открыты после проведения строительно-монтажных работ 25 пунктов пропуска за счет средств федерального бюджета. предусмотренных Минтрансу России на реализацию федерального проекта, из них: 
 14 автомобильных (Марково (ДФО), Яраг-Казмаляр (2 этап) (СКФО), В"&amp;"ерхний Ларс (СКФО), Бурачки (СЗФО), Кани-Курган (ДФО), Забайкальск (ДФО), Краскино (2 этап) (ДФО), Турий Рог (ДФО), Полтавка (ДФО), Брусничное (СЗФО), Монды (ДФО), Убылинка (СЗФО), Светогорск (СЗФО), Ивангород (СЗФО));
 6 морских (Ванино (ДФО), Шахтерск ("&amp;"ДФО), Петропавловск-Камчатский (ДФО), Холмск (ДФО), Певек (ДФО), Невельск (ДФО));
 2 воздушных (Челябинск (Баландино) (УФО), Саратов (Центральный) (ПФО));
 3 железнодорожных (Нижнеленинское (2 этап, под расширенную номенклатуру грузов) (ДФО), Пограничный "&amp;"(ДФО), Наушки (ДФО));")</f>
        <v>Открыты после проведения строительно-монтажных работ 25 пунктов пропуска за счет средств федерального бюджета. предусмотренных Минтрансу России на реализацию федерального проекта, из них: 
 14 автомобильных (Марково (ДФО), Яраг-Казмаляр (2 этап) (СКФО), Верхний Ларс (СКФО), Бурачки (СЗФО), Кани-Курган (ДФО), Забайкальск (ДФО), Краскино (2 этап) (ДФО), Турий Рог (ДФО), Полтавка (ДФО), Брусничное (СЗФО), Монды (ДФО), Убылинка (СЗФО), Светогорск (СЗФО), Ивангород (СЗФО));
 6 морских (Ванино (ДФО), Шахтерск (ДФО), Петропавловск-Камчатский (ДФО), Холмск (ДФО), Певек (ДФО), Невельск (ДФО));
 2 воздушных (Челябинск (Баландино) (УФО), Саратов (Центральный) (ПФО));
 3 железнодорожных (Нижнеленинское (2 этап, под расширенную номенклатуру грузов) (ДФО), Пограничный (ДФО), Наушки (ДФО));</v>
      </c>
      <c r="B519" s="101" t="str">
        <f ca="1">IFERROR(__xludf.DUMMYFUNCTION("""COMPUTED_VALUE"""),"индикатор")</f>
        <v>индикатор</v>
      </c>
    </row>
    <row r="520" spans="1:2" ht="13">
      <c r="A520" s="101" t="str">
        <f ca="1">IFERROR(__xludf.DUMMYFUNCTION("""COMPUTED_VALUE"""),"Открыты после проведения строительно-монтажных работ 12 пунктов пропуска за счет иных программ и внебюджетных источников финансирования, из них:
 - 2 автомобильных: Торфяновка (СЗФО), Пограничный (ДФО);
 - 10 морских: Находка (ДФО), Ростов-на-Дону (ЮФО), "&amp;"Мурманск (СЗФО), Азов (ЮФО), Калининград (СЗФО), Большой порт Санкт-Петербург (СЗФО), Новороссийск (ЮФО), Усть-Луга (СЗФО), Владивосток (ДФО), Зарубино (ДФО).")</f>
        <v>Открыты после проведения строительно-монтажных работ 12 пунктов пропуска за счет иных программ и внебюджетных источников финансирования, из них:
 - 2 автомобильных: Торфяновка (СЗФО), Пограничный (ДФО);
 - 10 морских: Находка (ДФО), Ростов-на-Дону (ЮФО), Мурманск (СЗФО), Азов (ЮФО), Калининград (СЗФО), Большой порт Санкт-Петербург (СЗФО), Новороссийск (ЮФО), Усть-Луга (СЗФО), Владивосток (ДФО), Зарубино (ДФО).</v>
      </c>
      <c r="B520" s="101" t="str">
        <f ca="1">IFERROR(__xludf.DUMMYFUNCTION("""COMPUTED_VALUE"""),"индикатор")</f>
        <v>индикатор</v>
      </c>
    </row>
    <row r="521" spans="1:2" ht="13">
      <c r="A521" s="101" t="str">
        <f ca="1">IFERROR(__xludf.DUMMYFUNCTION("""COMPUTED_VALUE"""),"Объекты и земельные участки автомобильных пунктов пропуска через государственную границу Российской Федерации Полтавка, Турий Рог, Марково, Краскино, Пограничный переведены в государственную собственность.")</f>
        <v>Объекты и земельные участки автомобильных пунктов пропуска через государственную границу Российской Федерации Полтавка, Турий Рог, Марково, Краскино, Пограничный переведены в государственную собственность.</v>
      </c>
      <c r="B521" s="101" t="str">
        <f ca="1">IFERROR(__xludf.DUMMYFUNCTION("""COMPUTED_VALUE"""),"индикатор")</f>
        <v>индикатор</v>
      </c>
    </row>
    <row r="522" spans="1:2" ht="13">
      <c r="A522" s="101" t="str">
        <f ca="1">IFERROR(__xludf.DUMMYFUNCTION("""COMPUTED_VALUE"""),"Объекты и земельные участки автомобильных пунктов пропуска через государственную границу Российской Федерации Полтавка, Турий Рог, Марково, Краскино, Пограничный переведены в государственную собственность.")</f>
        <v>Объекты и земельные участки автомобильных пунктов пропуска через государственную границу Российской Федерации Полтавка, Турий Рог, Марково, Краскино, Пограничный переведены в государственную собственность.</v>
      </c>
      <c r="B522" s="101" t="str">
        <f ca="1">IFERROR(__xludf.DUMMYFUNCTION("""COMPUTED_VALUE"""),"индикатор")</f>
        <v>индикатор</v>
      </c>
    </row>
    <row r="523" spans="1:2" ht="13">
      <c r="A523" s="101" t="str">
        <f ca="1">IFERROR(__xludf.DUMMYFUNCTION("""COMPUTED_VALUE"""),"Подготовка и проведение 23-й сессии Генеральной ассамблеи Всемирной туристской организации ООН (ЮНВТО) в г. Санкт-Петербурге в 2019 году")</f>
        <v>Подготовка и проведение 23-й сессии Генеральной ассамблеи Всемирной туристской организации ООН (ЮНВТО) в г. Санкт-Петербурге в 2019 году</v>
      </c>
      <c r="B523" s="101" t="str">
        <f ca="1">IFERROR(__xludf.DUMMYFUNCTION("""COMPUTED_VALUE"""),"индикатор")</f>
        <v>индикатор</v>
      </c>
    </row>
    <row r="524" spans="1:2" ht="13">
      <c r="A524" s="101" t="str">
        <f ca="1">IFERROR(__xludf.DUMMYFUNCTION("""COMPUTED_VALUE"""),"Разработан и реализуется комплекс мероприятий в целях сокращения временных затрат участников внешнеэкономической деятельности при экспорте товаров до следующих показателей (для контроля используются данные индикатора ""Международная торговля"" исследовани"&amp;"я ""Ведение Бизнеса"", рассчитанные по методологии Всемирного банка)
 2018 г. – 55 часов; 2019 г. – 48 часов; 2020 г. – 40 часов; 2021 г. – 35 часов; 2022 г. – 30 часов; 2023 г. – 24 часа; 2024 г. – 24 часа.")</f>
        <v>Разработан и реализуется комплекс мероприятий в целях сокращения временных затрат участников внешнеэкономической деятельности при экспорте товаров до следующих показателей (для контроля используются данные индикатора "Международная торговля" исследования "Ведение Бизнеса", рассчитанные по методологии Всемирного банка)
 2018 г. – 55 часов; 2019 г. – 48 часов; 2020 г. – 40 часов; 2021 г. – 35 часов; 2022 г. – 30 часов; 2023 г. – 24 часа; 2024 г. – 24 часа.</v>
      </c>
      <c r="B524" s="101" t="str">
        <f ca="1">IFERROR(__xludf.DUMMYFUNCTION("""COMPUTED_VALUE"""),"индикатор")</f>
        <v>индикатор</v>
      </c>
    </row>
    <row r="525" spans="1:2" ht="13">
      <c r="A525" s="101" t="str">
        <f ca="1">IFERROR(__xludf.DUMMYFUNCTION("""COMPUTED_VALUE"""),"Разработан и реализуется комплекс мероприятий в целях сокращения финансовых затрат участников внешнеэкономической деятельности при экспорте товаров до следующих показателей (для контроля используются данные индикатора ""Международная торговля"" исследован"&amp;"ия ""Ведение Бизнеса"", рассчитанные по методологии Всемирного банка) 2018 г. – 565 долл. США; 2019 г. – 465 долл. США; 2020 г. –365 долл. США; 2021 г. – 265 долл. США; 2022 г. – 250 долл. США; 2023 г. – 250 долл. США; 2024 г. – 250 долл. США.")</f>
        <v>Разработан и реализуется комплекс мероприятий в целях сокращения финансовых затрат участников внешнеэкономической деятельности при экспорте товаров до следующих показателей (для контроля используются данные индикатора "Международная торговля" исследования "Ведение Бизнеса", рассчитанные по методологии Всемирного банка) 2018 г. – 565 долл. США; 2019 г. – 465 долл. США; 2020 г. –365 долл. США; 2021 г. – 265 долл. США; 2022 г. – 250 долл. США; 2023 г. – 250 долл. США; 2024 г. – 250 долл. США.</v>
      </c>
      <c r="B525" s="101" t="str">
        <f ca="1">IFERROR(__xludf.DUMMYFUNCTION("""COMPUTED_VALUE"""),"индикатор")</f>
        <v>индикатор</v>
      </c>
    </row>
    <row r="526" spans="1:2" ht="13">
      <c r="A526" s="101" t="str">
        <f ca="1">IFERROR(__xludf.DUMMYFUNCTION("""COMPUTED_VALUE"""),"Введена в промышленную эксплуатацию информационная система ""Одно окно"" на базе цифровой платформы АО ""Российский экспортный центр"", обеспечивающая взаимодействие участников внешнеэкономической деятельности и субъектов международной торговли с органами"&amp;" государственной власти, в том числе с контролирующими органами и иными организациями в электронной форме (в части подтверждения 0% ставки НДС при экспорте товаров, валютного контроля и таможенного декларирования).")</f>
        <v>Введена в промышленную эксплуатацию информационная система "Одно окно" на базе цифровой платформы АО "Российский экспортный центр", обеспечивающая взаимодействие участников внешнеэкономической деятельности и субъектов международной торговли с органами государственной власти, в том числе с контролирующими органами и иными организациями в электронной форме (в части подтверждения 0% ставки НДС при экспорте товаров, валютного контроля и таможенного декларирования).</v>
      </c>
      <c r="B526" s="101" t="str">
        <f ca="1">IFERROR(__xludf.DUMMYFUNCTION("""COMPUTED_VALUE"""),"индикатор")</f>
        <v>индикатор</v>
      </c>
    </row>
    <row r="527" spans="1:2" ht="13">
      <c r="A527" s="101" t="str">
        <f ca="1">IFERROR(__xludf.DUMMYFUNCTION("""COMPUTED_VALUE"""),"Введены в промышленную эксплуатацию дополнительные сервисы информационной системы ""Одно окно"", включая лицензирование, сертификацию (в том числе сертификат страны происхождения, сертификат здоровья, ветеринарный и фитосанитарный), идентификацию товаров "&amp;"двойного назначения, предоставление субсидий, получение разрешительных документов.")</f>
        <v>Введены в промышленную эксплуатацию дополнительные сервисы информационной системы "Одно окно", включая лицензирование, сертификацию (в том числе сертификат страны происхождения, сертификат здоровья, ветеринарный и фитосанитарный), идентификацию товаров двойного назначения, предоставление субсидий, получение разрешительных документов.</v>
      </c>
      <c r="B527" s="101" t="str">
        <f ca="1">IFERROR(__xludf.DUMMYFUNCTION("""COMPUTED_VALUE"""),"индикатор")</f>
        <v>индикатор</v>
      </c>
    </row>
    <row r="528" spans="1:2" ht="13">
      <c r="A528" s="101" t="str">
        <f ca="1">IFERROR(__xludf.DUMMYFUNCTION("""COMPUTED_VALUE"""),"Проведена модернизация опорных лабораторий согласно утвержденному Плану по модернизации опорных лабораторий, по результатам которой количество опорных лабораторий, наделенных правом выдавать по результатам исследований (испытаний) протоколы с использовани"&amp;"ем знака ILAC, в 2020 году составит не менее 15 ед., в 2024 г. - не менее 
 25 ед., с участием которых доля исследований российской продукции, проведенных в российских испытательных лабораториях (GLP-лабораториях) в соответствии с методиками, признаваемым"&amp;"и за рубежом, согласно перечню приоритетных стран и видов продукции, составит:
 в 2024 г. - не менее 40% (8%)")</f>
        <v>Проведена модернизация опорных лабораторий согласно утвержденному Плану по модернизации опорных лабораторий, по результатам которой количество опорных лабораторий, наделенных правом выдавать по результатам исследований (испытаний) протоколы с использованием знака ILAC, в 2020 году составит не менее 15 ед., в 2024 г. - не менее 
 25 ед., с участием которых доля исследований российской продукции, проведенных в российских испытательных лабораториях (GLP-лабораториях) в соответствии с методиками, признаваемыми за рубежом, согласно перечню приоритетных стран и видов продукции, составит:
 в 2024 г. - не менее 40% (8%)</v>
      </c>
      <c r="B528" s="101" t="str">
        <f ca="1">IFERROR(__xludf.DUMMYFUNCTION("""COMPUTED_VALUE"""),"индикатор")</f>
        <v>индикатор</v>
      </c>
    </row>
    <row r="529" spans="1:2" ht="13">
      <c r="A529" s="101" t="str">
        <f ca="1">IFERROR(__xludf.DUMMYFUNCTION("""COMPUTED_VALUE"""),"Обеспечена активизация участия представителей российского бизнеса и экспертов в технических органах международных организаций по стандартизации и оценке соответствия при разработке международных стандартов в целях повышения конкурентоспособности экспортно"&amp;"й продукции, по результатам которой:
 - увеличена доля технических органов международных организаций по стандартизации, где Российская Федерация является полноправным членом до 90%;
 - обеспечено участие представителей Российской Федерации в обязательных "&amp;"голосованиях по проектам международных документов по стандартизации до 85%")</f>
        <v>Обеспечена активизация участия представителей российского бизнеса и экспертов в технических органах международных организаций по стандартизации и оценке соответствия при разработке международных стандартов в целях повышения конкурентоспособности экспортной продукции, по результатам которой:
 - увеличена доля технических органов международных организаций по стандартизации, где Российская Федерация является полноправным членом до 90%;
 - обеспечено участие представителей Российской Федерации в обязательных голосованиях по проектам международных документов по стандартизации до 85%</v>
      </c>
      <c r="B529" s="101" t="str">
        <f ca="1">IFERROR(__xludf.DUMMYFUNCTION("""COMPUTED_VALUE"""),"индикатор")</f>
        <v>индикатор</v>
      </c>
    </row>
    <row r="530" spans="1:2" ht="13">
      <c r="A530" s="101" t="str">
        <f ca="1">IFERROR(__xludf.DUMMYFUNCTION("""COMPUTED_VALUE"""),"Обеспечено увеличение объема экспортной выручки в рамках поддержки высокотехнологичных экспортно-ориентированных проектов в перспективных и приоритетных отраслях экономики")</f>
        <v>Обеспечено увеличение объема экспортной выручки в рамках поддержки высокотехнологичных экспортно-ориентированных проектов в перспективных и приоритетных отраслях экономики</v>
      </c>
      <c r="B530" s="101" t="str">
        <f ca="1">IFERROR(__xludf.DUMMYFUNCTION("""COMPUTED_VALUE"""),"индикатор")</f>
        <v>индикатор</v>
      </c>
    </row>
    <row r="531" spans="1:2" ht="13">
      <c r="A531" s="101" t="str">
        <f ca="1">IFERROR(__xludf.DUMMYFUNCTION("""COMPUTED_VALUE"""),"Оказана финансовая поддержка АО «Российский экспортный центр»:
 В срок до 31.12.2019 не менее 300 МСП-экспортерам
 В срок до 31.12.2020 не менее 700 МСП-экспортерам
 В срок до 31.12.2021 не менее 1500 МСП-экспортерам")</f>
        <v>Оказана финансовая поддержка АО «Российский экспортный центр»:
 В срок до 31.12.2019 не менее 300 МСП-экспортерам
 В срок до 31.12.2020 не менее 700 МСП-экспортерам
 В срок до 31.12.2021 не менее 1500 МСП-экспортерам</v>
      </c>
      <c r="B531" s="101" t="str">
        <f ca="1">IFERROR(__xludf.DUMMYFUNCTION("""COMPUTED_VALUE"""),"индикатор")</f>
        <v>индикатор</v>
      </c>
    </row>
    <row r="532" spans="1:2" ht="13">
      <c r="A532" s="101" t="str">
        <f ca="1">IFERROR(__xludf.DUMMYFUNCTION("""COMPUTED_VALUE"""),"Объем кредитных сделок и иных инструментов финансирования, аналогичных кредиту по экономической сути (длящиеся обязательства по состоянию на 01.01.2019), по которым предоставляется субсидия, составит не менее 20 млрд. рублей в 2023 году")</f>
        <v>Объем кредитных сделок и иных инструментов финансирования, аналогичных кредиту по экономической сути (длящиеся обязательства по состоянию на 01.01.2019), по которым предоставляется субсидия, составит не менее 20 млрд. рублей в 2023 году</v>
      </c>
      <c r="B532" s="101" t="str">
        <f ca="1">IFERROR(__xludf.DUMMYFUNCTION("""COMPUTED_VALUE"""),"индикатор")</f>
        <v>индикатор</v>
      </c>
    </row>
    <row r="533" spans="1:2" ht="13">
      <c r="A533" s="101" t="str">
        <f ca="1">IFERROR(__xludf.DUMMYFUNCTION("""COMPUTED_VALUE"""),"Региональный экспортный стандарт 2.0 внедрен в ""пилотных"" субъектах Российской Федерации.")</f>
        <v>Региональный экспортный стандарт 2.0 внедрен в "пилотных" субъектах Российской Федерации.</v>
      </c>
      <c r="B533" s="101" t="str">
        <f ca="1">IFERROR(__xludf.DUMMYFUNCTION("""COMPUTED_VALUE"""),"индикатор")</f>
        <v>индикатор</v>
      </c>
    </row>
    <row r="534" spans="1:2" ht="13">
      <c r="A534" s="101" t="str">
        <f ca="1">IFERROR(__xludf.DUMMYFUNCTION("""COMPUTED_VALUE"""),"Региональный экспортный стандарт 2.0 внедрен не менее чем в 75 субъектах Российской Федерации.")</f>
        <v>Региональный экспортный стандарт 2.0 внедрен не менее чем в 75 субъектах Российской Федерации.</v>
      </c>
      <c r="B534" s="101" t="str">
        <f ca="1">IFERROR(__xludf.DUMMYFUNCTION("""COMPUTED_VALUE"""),"индикатор")</f>
        <v>индикатор</v>
      </c>
    </row>
    <row r="535" spans="1:2" ht="13">
      <c r="A535" s="101" t="str">
        <f ca="1">IFERROR(__xludf.DUMMYFUNCTION("""COMPUTED_VALUE"""),"Проведена Всероссийская премия в области международной кооперации и экспорта «Экспортер года», а также восемь окружных этапов с участием:
 в 2019 году – не менее 1000 экспортеров;
 в 2020 год - не менее 1600 экспортеров
 в 2021 год и далее - не менее 2200"&amp;" экспортеров")</f>
        <v>Проведена Всероссийская премия в области международной кооперации и экспорта «Экспортер года», а также восемь окружных этапов с участием:
 в 2019 году – не менее 1000 экспортеров;
 в 2020 год - не менее 1600 экспортеров
 в 2021 год и далее - не менее 2200 экспортеров</v>
      </c>
      <c r="B535" s="101" t="str">
        <f ca="1">IFERROR(__xludf.DUMMYFUNCTION("""COMPUTED_VALUE"""),"индикатор")</f>
        <v>индикатор</v>
      </c>
    </row>
    <row r="536" spans="1:2" ht="13">
      <c r="A536" s="101" t="str">
        <f ca="1">IFERROR(__xludf.DUMMYFUNCTION("""COMPUTED_VALUE"""),"Проведено пилотирование программ акселерации: 
 2019 год - не менее 50 МСП из 10 субъектов Российской Федерации приняли участие в программе акселерации.")</f>
        <v>Проведено пилотирование программ акселерации: 
 2019 год - не менее 50 МСП из 10 субъектов Российской Федерации приняли участие в программе акселерации.</v>
      </c>
      <c r="B536" s="101" t="str">
        <f ca="1">IFERROR(__xludf.DUMMYFUNCTION("""COMPUTED_VALUE"""),"индикатор")</f>
        <v>индикатор</v>
      </c>
    </row>
    <row r="537" spans="1:2" ht="13">
      <c r="A537" s="101" t="str">
        <f ca="1">IFERROR(__xludf.DUMMYFUNCTION("""COMPUTED_VALUE"""),"Обеспечено участие Российской Федерации во всемирной выставке ""ЭКСПО 2020""")</f>
        <v>Обеспечено участие Российской Федерации во всемирной выставке "ЭКСПО 2020"</v>
      </c>
      <c r="B537" s="101" t="str">
        <f ca="1">IFERROR(__xludf.DUMMYFUNCTION("""COMPUTED_VALUE"""),"индикатор")</f>
        <v>индикатор</v>
      </c>
    </row>
    <row r="538" spans="1:2" ht="13">
      <c r="A538" s="101" t="str">
        <f ca="1">IFERROR(__xludf.DUMMYFUNCTION("""COMPUTED_VALUE"""),"Осуществлено строительство скоростной автомобильной дороги ""Москва - Нижний Новгород - Казань"", входящей в состав международного транспортного маршрута ""Европа - Западный Китай""")</f>
        <v>Осуществлено строительство скоростной автомобильной дороги "Москва - Нижний Новгород - Казань", входящей в состав международного транспортного маршрута "Европа - Западный Китай"</v>
      </c>
      <c r="B538" s="101" t="str">
        <f ca="1">IFERROR(__xludf.DUMMYFUNCTION("""COMPUTED_VALUE"""),"индикатор")</f>
        <v>индикатор</v>
      </c>
    </row>
    <row r="539" spans="1:2" ht="13">
      <c r="A539" s="101" t="str">
        <f ca="1">IFERROR(__xludf.DUMMYFUNCTION("""COMPUTED_VALUE"""),"Осуществлено строительство обхода г. Тольятти с мостовым переходом через р. Волгу в составе международного транспортного маршрута ""Европа - Западный Китай""")</f>
        <v>Осуществлено строительство обхода г. Тольятти с мостовым переходом через р. Волгу в составе международного транспортного маршрута "Европа - Западный Китай"</v>
      </c>
      <c r="B539" s="101" t="str">
        <f ca="1">IFERROR(__xludf.DUMMYFUNCTION("""COMPUTED_VALUE"""),"индикатор")</f>
        <v>индикатор</v>
      </c>
    </row>
    <row r="540" spans="1:2" ht="13">
      <c r="A540" s="101" t="str">
        <f ca="1">IFERROR(__xludf.DUMMYFUNCTION("""COMPUTED_VALUE"""),"Строительство российского участка платной автомагистрали ""Меридиан"" *")</f>
        <v>Строительство российского участка платной автомагистрали "Меридиан" *</v>
      </c>
      <c r="B540" s="101" t="str">
        <f ca="1">IFERROR(__xludf.DUMMYFUNCTION("""COMPUTED_VALUE"""),"индикатор")</f>
        <v>индикатор</v>
      </c>
    </row>
    <row r="541" spans="1:2" ht="13">
      <c r="A541" s="101" t="str">
        <f ca="1">IFERROR(__xludf.DUMMYFUNCTION("""COMPUTED_VALUE"""),"Осуществлены мероприятия по развитию портовой инфраструктуры Дальневосточного, Арктического, Северо-Западного (Балтийского), Волго-Каспийского и Азово-Черноморского бассейнов и строительству аварийно-спасательного флота")</f>
        <v>Осуществлены мероприятия по развитию портовой инфраструктуры Дальневосточного, Арктического, Северо-Западного (Балтийского), Волго-Каспийского и Азово-Черноморского бассейнов и строительству аварийно-спасательного флота</v>
      </c>
      <c r="B541" s="101" t="str">
        <f ca="1">IFERROR(__xludf.DUMMYFUNCTION("""COMPUTED_VALUE"""),"индикатор")</f>
        <v>индикатор</v>
      </c>
    </row>
    <row r="542" spans="1:2" ht="13">
      <c r="A542" s="101" t="str">
        <f ca="1">IFERROR(__xludf.DUMMYFUNCTION("""COMPUTED_VALUE"""),"Осуществлено развитие автодорожных подходов к морским портам Азово-Черноморского, Каспийского, Балтийского, Дальневосточного бассейнов, а также бассейнов Западной и Восточной Арктики (осуществлена реконструкция автомобильных дорог А-290 Новороссийск - Кер"&amp;"чь, А-181 ""Скандинавия"", Р-21 ""Кола"", Р-217 ""Кавказ"" и др.)")</f>
        <v>Осуществлено развитие автодорожных подходов к морским портам Азово-Черноморского, Каспийского, Балтийского, Дальневосточного бассейнов, а также бассейнов Западной и Восточной Арктики (осуществлена реконструкция автомобильных дорог А-290 Новороссийск - Керчь, А-181 "Скандинавия", Р-21 "Кола", Р-217 "Кавказ" и др.)</v>
      </c>
      <c r="B542" s="101" t="str">
        <f ca="1">IFERROR(__xludf.DUMMYFUNCTION("""COMPUTED_VALUE"""),"индикатор")</f>
        <v>индикатор</v>
      </c>
    </row>
    <row r="543" spans="1:2" ht="13">
      <c r="A543" s="101" t="str">
        <f ca="1">IFERROR(__xludf.DUMMYFUNCTION("""COMPUTED_VALUE"""),"Навигационно-гидрографическое обеспечение судоходства на трассах Северного морского пути")</f>
        <v>Навигационно-гидрографическое обеспечение судоходства на трассах Северного морского пути</v>
      </c>
      <c r="B543" s="101" t="str">
        <f ca="1">IFERROR(__xludf.DUMMYFUNCTION("""COMPUTED_VALUE"""),"индикатор")</f>
        <v>индикатор</v>
      </c>
    </row>
    <row r="544" spans="1:2" ht="13">
      <c r="A544" s="101" t="str">
        <f ca="1">IFERROR(__xludf.DUMMYFUNCTION("""COMPUTED_VALUE"""),"Осуществлены мероприятия по созданию и реконструкции объектов транспортной инфраструктуры, строительству аварийно-спасательного, гидрографического и лоцмейстерского флота в целях развития Северного морского пути")</f>
        <v>Осуществлены мероприятия по созданию и реконструкции объектов транспортной инфраструктуры, строительству аварийно-спасательного, гидрографического и лоцмейстерского флота в целях развития Северного морского пути</v>
      </c>
      <c r="B544" s="101" t="str">
        <f ca="1">IFERROR(__xludf.DUMMYFUNCTION("""COMPUTED_VALUE"""),"индикатор")</f>
        <v>индикатор</v>
      </c>
    </row>
    <row r="545" spans="1:2" ht="13">
      <c r="A545" s="101" t="str">
        <f ca="1">IFERROR(__xludf.DUMMYFUNCTION("""COMPUTED_VALUE"""),"Осуществлено строительство железнодорожного Северного широтного хода «Обская–Салехард–Надым–Пангоды–Новый Уренгой–Коротчаево» и железнодорожных подходов к нему")</f>
        <v>Осуществлено строительство железнодорожного Северного широтного хода «Обская–Салехард–Надым–Пангоды–Новый Уренгой–Коротчаево» и железнодорожных подходов к нему</v>
      </c>
      <c r="B545" s="101" t="str">
        <f ca="1">IFERROR(__xludf.DUMMYFUNCTION("""COMPUTED_VALUE"""),"индикатор")</f>
        <v>индикатор</v>
      </c>
    </row>
    <row r="546" spans="1:2" ht="13">
      <c r="A546" s="101" t="str">
        <f ca="1">IFERROR(__xludf.DUMMYFUNCTION("""COMPUTED_VALUE"""),"Осуществлено продление срока эксплуатации ядерных установок (ЯУ) судов атомно-технологического обеспечения (АТО) птб ""Имандра"", птб ""Лотта"" и хранилища ЖРО теплохода ""Серебрянка""")</f>
        <v>Осуществлено продление срока эксплуатации ядерных установок (ЯУ) судов атомно-технологического обеспечения (АТО) птб "Имандра", птб "Лотта" и хранилища ЖРО теплохода "Серебрянка"</v>
      </c>
      <c r="B546" s="101" t="str">
        <f ca="1">IFERROR(__xludf.DUMMYFUNCTION("""COMPUTED_VALUE"""),"индикатор")</f>
        <v>индикатор</v>
      </c>
    </row>
    <row r="547" spans="1:2" ht="13">
      <c r="A547" s="101" t="str">
        <f ca="1">IFERROR(__xludf.DUMMYFUNCTION("""COMPUTED_VALUE"""),"Реализованы мероприятия по развитию портовой инфраструктуры Северного морского пути, в том числе осуществлено строительство терминала сжиженного природного газа и газового конденсата ""Утренний"" в морском порту Сабетта, включая объекты федеральной собств"&amp;"енности (подводные гидротехнические сооружения, ледозащитные сооружения, объекты безопасности мореплавания), а также реконструкция морского канала")</f>
        <v>Реализованы мероприятия по развитию портовой инфраструктуры Северного морского пути, в том числе осуществлено строительство терминала сжиженного природного газа и газового конденсата "Утренний" в морском порту Сабетта, включая объекты федеральной собственности (подводные гидротехнические сооружения, ледозащитные сооружения, объекты безопасности мореплавания), а также реконструкция морского канала</v>
      </c>
      <c r="B547" s="101" t="str">
        <f ca="1">IFERROR(__xludf.DUMMYFUNCTION("""COMPUTED_VALUE"""),"индикатор")</f>
        <v>индикатор</v>
      </c>
    </row>
    <row r="548" spans="1:2" ht="13">
      <c r="A548" s="101" t="str">
        <f ca="1">IFERROR(__xludf.DUMMYFUNCTION("""COMPUTED_VALUE"""),"Сформированы узловые грузовые мультимодальные транспортно-логистические центры")</f>
        <v>Сформированы узловые грузовые мультимодальные транспортно-логистические центры</v>
      </c>
      <c r="B548" s="101" t="str">
        <f ca="1">IFERROR(__xludf.DUMMYFUNCTION("""COMPUTED_VALUE"""),"индикатор")</f>
        <v>индикатор</v>
      </c>
    </row>
    <row r="549" spans="1:2" ht="13">
      <c r="A549" s="101" t="str">
        <f ca="1">IFERROR(__xludf.DUMMYFUNCTION("""COMPUTED_VALUE"""),"Осуществлена реконструкция 5 объектов в 5 аэропортовых комплексах (в том числе в 5 объектах - реконструкция аэродромного комплекса, включающая реконструкцию (строительство) взлетно-посадочной полосы), а также реконструкция 1 объекта на территории Дальнево"&amp;"сточного федерального округа)")</f>
        <v>Осуществлена реконструкция 5 объектов в 5 аэропортовых комплексах (в том числе в 5 объектах - реконструкция аэродромного комплекса, включающая реконструкцию (строительство) взлетно-посадочной полосы), а также реконструкция 1 объекта на территории Дальневосточного федерального округа)</v>
      </c>
      <c r="B549" s="101" t="str">
        <f ca="1">IFERROR(__xludf.DUMMYFUNCTION("""COMPUTED_VALUE"""),"индикатор")</f>
        <v>индикатор</v>
      </c>
    </row>
    <row r="550" spans="1:2" ht="13">
      <c r="A550" s="101" t="str">
        <f ca="1">IFERROR(__xludf.DUMMYFUNCTION("""COMPUTED_VALUE"""),"Осуществлена реконструкция 63 объектов в 61 аэропортовых комплексах (в том числе в 43 объектах - реконструкция аэродромного комплекса, включающая реконструкцию (строительство) взлетно-посадочной полосы, в 20 объектах - реконструкция вспомогательных объект"&amp;"ов аэропортовой инфраструктуры (рулежные дорожки, перроны, аварийно-спасательные станции, ограждения, патрульные дороги, ангары и др.), а также реконструкция 39 объектов на территории Дальневосточного федерального округа)")</f>
        <v>Осуществлена реконструкция 63 объектов в 61 аэропортовых комплексах (в том числе в 43 объектах - реконструкция аэродромного комплекса, включающая реконструкцию (строительство) взлетно-посадочной полосы, в 20 объектах - реконструкция вспомогательных объектов аэропортовой инфраструктуры (рулежные дорожки, перроны, аварийно-спасательные станции, ограждения, патрульные дороги, ангары и др.), а также реконструкция 39 объектов на территории Дальневосточного федерального округа)</v>
      </c>
      <c r="B550" s="101" t="str">
        <f ca="1">IFERROR(__xludf.DUMMYFUNCTION("""COMPUTED_VALUE"""),"индикатор")</f>
        <v>индикатор</v>
      </c>
    </row>
    <row r="551" spans="1:2" ht="13">
      <c r="A551" s="101" t="str">
        <f ca="1">IFERROR(__xludf.DUMMYFUNCTION("""COMPUTED_VALUE"""),"Увеличена пропускная способность внутренних водных путей на 14,3 млн. тонн за счет обеспечения нормативного содержания внутренних водных путей и судоходных гидротехнических сооружений")</f>
        <v>Увеличена пропускная способность внутренних водных путей на 14,3 млн. тонн за счет обеспечения нормативного содержания внутренних водных путей и судоходных гидротехнических сооружений</v>
      </c>
      <c r="B551" s="101" t="str">
        <f ca="1">IFERROR(__xludf.DUMMYFUNCTION("""COMPUTED_VALUE"""),"индикатор")</f>
        <v>индикатор</v>
      </c>
    </row>
    <row r="552" spans="1:2" ht="13">
      <c r="A552" s="101" t="str">
        <f ca="1">IFERROR(__xludf.DUMMYFUNCTION("""COMPUTED_VALUE"""),"Увеличена пропускная способность внутренних водных путей на 55,6 млн. тонн за счет реализации мероприятий по развитию инфраструктуры внутренних водных путей")</f>
        <v>Увеличена пропускная способность внутренних водных путей на 55,6 млн. тонн за счет реализации мероприятий по развитию инфраструктуры внутренних водных путей</v>
      </c>
      <c r="B552" s="101" t="str">
        <f ca="1">IFERROR(__xludf.DUMMYFUNCTION("""COMPUTED_VALUE"""),"индикатор")</f>
        <v>индикатор</v>
      </c>
    </row>
    <row r="553" spans="1:2" ht="13">
      <c r="A553" s="101" t="str">
        <f ca="1">IFERROR(__xludf.DUMMYFUNCTION("""COMPUTED_VALUE"""),"Ведомственная целевая программа ""Развитие фундаментальной, трансляционной и персонализированной медицины""")</f>
        <v>Ведомственная целевая программа "Развитие фундаментальной, трансляционной и персонализированной медицины"</v>
      </c>
      <c r="B553" s="101" t="str">
        <f ca="1">IFERROR(__xludf.DUMMYFUNCTION("""COMPUTED_VALUE"""),"индикатор")</f>
        <v>индикатор</v>
      </c>
    </row>
    <row r="554" spans="1:2" ht="13">
      <c r="A554" s="101" t="str">
        <f ca="1">IFERROR(__xludf.DUMMYFUNCTION("""COMPUTED_VALUE"""),"Ведомственная целевая программа ""Санаторно-курортное лечение""")</f>
        <v>Ведомственная целевая программа "Санаторно-курортное лечение"</v>
      </c>
      <c r="B554" s="101" t="str">
        <f ca="1">IFERROR(__xludf.DUMMYFUNCTION("""COMPUTED_VALUE"""),"индикатор")</f>
        <v>индикатор</v>
      </c>
    </row>
    <row r="555" spans="1:2" ht="13">
      <c r="A555" s="101" t="str">
        <f ca="1">IFERROR(__xludf.DUMMYFUNCTION("""COMPUTED_VALUE"""),"Ведомственная целевая программа ""Медицинская реабилитация""")</f>
        <v>Ведомственная целевая программа "Медицинская реабилитация"</v>
      </c>
      <c r="B555" s="101" t="str">
        <f ca="1">IFERROR(__xludf.DUMMYFUNCTION("""COMPUTED_VALUE"""),"индикатор")</f>
        <v>индикатор</v>
      </c>
    </row>
    <row r="556" spans="1:2" ht="13">
      <c r="A556" s="101" t="str">
        <f ca="1">IFERROR(__xludf.DUMMYFUNCTION("""COMPUTED_VALUE"""),"Ведомственная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f>
        <v>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v>
      </c>
      <c r="B556" s="101" t="str">
        <f ca="1">IFERROR(__xludf.DUMMYFUNCTION("""COMPUTED_VALUE"""),"индикатор")</f>
        <v>индикатор</v>
      </c>
    </row>
    <row r="557" spans="1:2" ht="13">
      <c r="A557" s="101" t="str">
        <f ca="1">IFERROR(__xludf.DUMMYFUNCTION("""COMPUTED_VALUE"""),"Ведомственная целевая программа ""Управление кадровыми ресурсами здравоохранения""")</f>
        <v>Ведомственная целевая программа "Управление кадровыми ресурсами здравоохранения"</v>
      </c>
      <c r="B557" s="101" t="str">
        <f ca="1">IFERROR(__xludf.DUMMYFUNCTION("""COMPUTED_VALUE"""),"индикатор")</f>
        <v>индикатор</v>
      </c>
    </row>
    <row r="558" spans="1:2" ht="13">
      <c r="A558" s="101" t="str">
        <f ca="1">IFERROR(__xludf.DUMMYFUNCTION("""COMPUTED_VALUE"""),"Ведомственная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f>
        <v>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v>
      </c>
      <c r="B558" s="101" t="str">
        <f ca="1">IFERROR(__xludf.DUMMYFUNCTION("""COMPUTED_VALUE"""),"индикатор")</f>
        <v>индикатор</v>
      </c>
    </row>
    <row r="559" spans="1:2" ht="13">
      <c r="A559" s="101" t="str">
        <f ca="1">IFERROR(__xludf.DUMMYFUNCTION("""COMPUTED_VALUE"""),"Ведомственная целевая программа ""Содействие международному сотрудничеству в сфере охраны здоровья""")</f>
        <v>Ведомственная целевая программа "Содействие международному сотрудничеству в сфере охраны здоровья"</v>
      </c>
      <c r="B559" s="101" t="str">
        <f ca="1">IFERROR(__xludf.DUMMYFUNCTION("""COMPUTED_VALUE"""),"индикатор")</f>
        <v>индикатор</v>
      </c>
    </row>
    <row r="560" spans="1:2" ht="13">
      <c r="A560" s="101" t="str">
        <f ca="1">IFERROR(__xludf.DUMMYFUNCTION("""COMPUTED_VALUE"""),"Ведомственная целевая программа ""Развитие государственной экспертной деятельности в сфере здравоохранения""")</f>
        <v>Ведомственная целевая программа "Развитие государственной экспертной деятельности в сфере здравоохранения"</v>
      </c>
      <c r="B560" s="101" t="str">
        <f ca="1">IFERROR(__xludf.DUMMYFUNCTION("""COMPUTED_VALUE"""),"индикатор")</f>
        <v>индикатор</v>
      </c>
    </row>
    <row r="561" spans="1:2" ht="13">
      <c r="A561" s="101" t="str">
        <f ca="1">IFERROR(__xludf.DUMMYFUNCTION("""COMPUTED_VALUE"""),"Ведомственная целевая программа ""Организация государственного санитарно-эпидемиологического надзора и обеспечение санитарно-эпидемиологического благополучия населения""")</f>
        <v>Ведомственная целевая программа "Организация государственного санитарно-эпидемиологического надзора и обеспечение санитарно-эпидемиологического благополучия населения"</v>
      </c>
      <c r="B561" s="101" t="str">
        <f ca="1">IFERROR(__xludf.DUMMYFUNCTION("""COMPUTED_VALUE"""),"индикатор")</f>
        <v>индикатор</v>
      </c>
    </row>
    <row r="562" spans="1:2" ht="13">
      <c r="A562" s="101" t="str">
        <f ca="1">IFERROR(__xludf.DUMMYFUNCTION("""COMPUTED_VALUE"""),"Ведомственная целевая программа ""Контроль, экспертиза, мониторинг и предоставление государственных услуг в сфере охраны здоровья""")</f>
        <v>Ведомственная целевая программа "Контроль, экспертиза, мониторинг и предоставление государственных услуг в сфере охраны здоровья"</v>
      </c>
      <c r="B562" s="101" t="str">
        <f ca="1">IFERROR(__xludf.DUMMYFUNCTION("""COMPUTED_VALUE"""),"индикатор")</f>
        <v>индикатор</v>
      </c>
    </row>
    <row r="563" spans="1:2" ht="13">
      <c r="A563" s="101" t="str">
        <f ca="1">IFERROR(__xludf.DUMMYFUNCTION("""COMPUTED_VALUE"""),"Ведомственная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f>
        <v>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v>
      </c>
      <c r="B563" s="101" t="str">
        <f ca="1">IFERROR(__xludf.DUMMYFUNCTION("""COMPUTED_VALUE"""),"индикатор")</f>
        <v>индикатор</v>
      </c>
    </row>
    <row r="564" spans="1:2" ht="13">
      <c r="A564" s="101" t="str">
        <f ca="1">IFERROR(__xludf.DUMMYFUNCTION("""COMPUTED_VALUE"""),"Ведомственная целевая программа ""Медицинское обеспечение авиационного персонала гражданской авиации и студентов (курсантов) образовательных учреждений гражданской авиации""")</f>
        <v>Ведомственная целевая программа "Медицинское обеспечение авиационного персонала гражданской авиации и студентов (курсантов) образовательных учреждений гражданской авиации"</v>
      </c>
      <c r="B564" s="101" t="str">
        <f ca="1">IFERROR(__xludf.DUMMYFUNCTION("""COMPUTED_VALUE"""),"индикатор")</f>
        <v>индикатор</v>
      </c>
    </row>
    <row r="565" spans="1:2" ht="13">
      <c r="A565" s="101" t="str">
        <f ca="1">IFERROR(__xludf.DUMMYFUNCTION("""COMPUTED_VALUE"""),"Ведомственная целевая программа ""Медико-биологическое обеспечение спортсменов спортивных сборных команд Российской Федерации""")</f>
        <v>Ведомственная целевая программа "Медико-биологическое обеспечение спортсменов спортивных сборных команд Российской Федерации"</v>
      </c>
      <c r="B565" s="101" t="str">
        <f ca="1">IFERROR(__xludf.DUMMYFUNCTION("""COMPUTED_VALUE"""),"индикатор")</f>
        <v>индикатор</v>
      </c>
    </row>
    <row r="566" spans="1:2" ht="13">
      <c r="A566" s="101" t="str">
        <f ca="1">IFERROR(__xludf.DUMMYFUNCTION("""COMPUTED_VALUE"""),"Ведомственная целевая программа ""Медико-санитарное обеспечение работников обслуживаемых организаций и населения обслуживаемых территорий""")</f>
        <v>Ведомственная целевая программа "Медико-санитарное обеспечение работников обслуживаемых организаций и населения обслуживаемых территорий"</v>
      </c>
      <c r="B566" s="101" t="str">
        <f ca="1">IFERROR(__xludf.DUMMYFUNCTION("""COMPUTED_VALUE"""),"индикатор")</f>
        <v>индикатор</v>
      </c>
    </row>
    <row r="567" spans="1:2" ht="13">
      <c r="A567" s="101" t="str">
        <f ca="1">IFERROR(__xludf.DUMMYFUNCTION("""COMPUTED_VALUE"""),"Основное мероприятие ""Реализация функций ответственного исполнителя государственной программы""")</f>
        <v>Основное мероприятие "Реализация функций ответственного исполнителя государственной программы"</v>
      </c>
      <c r="B567" s="101" t="str">
        <f ca="1">IFERROR(__xludf.DUMMYFUNCTION("""COMPUTED_VALUE"""),"индикатор")</f>
        <v>индикатор</v>
      </c>
    </row>
    <row r="568" spans="1:2" ht="13">
      <c r="A568" s="101" t="str">
        <f ca="1">IFERROR(__xludf.DUMMYFUNCTION("""COMPUTED_VALUE"""),"Ведомственная целевая программа ""Анализ и мониторинг системы здравоохранения""")</f>
        <v>Ведомственная целевая программа "Анализ и мониторинг системы здравоохранения"</v>
      </c>
      <c r="B568" s="101" t="str">
        <f ca="1">IFERROR(__xludf.DUMMYFUNCTION("""COMPUTED_VALUE"""),"индикатор")</f>
        <v>индикатор</v>
      </c>
    </row>
    <row r="569" spans="1:2" ht="13">
      <c r="A569" s="101" t="str">
        <f ca="1">IFERROR(__xludf.DUMMYFUNCTION("""COMPUTED_VALUE"""),"Ведомственная целевая программа ""Информационно-технологическая поддержка реализации государственной программы""")</f>
        <v>Ведомственная целевая программа "Информационно-технологическая поддержка реализации государственной программы"</v>
      </c>
      <c r="B569" s="101" t="str">
        <f ca="1">IFERROR(__xludf.DUMMYFUNCTION("""COMPUTED_VALUE"""),"индикатор")</f>
        <v>индикатор</v>
      </c>
    </row>
    <row r="570" spans="1:2" ht="13">
      <c r="A570" s="101" t="str">
        <f ca="1">IFERROR(__xludf.DUMMYFUNCTION("""COMPUTED_VALUE"""),"Ведомственная целевая программа ""Совершенствование оказания скорой медицинской помощи и деятельности Всероссийской службы медицины катастроф""")</f>
        <v>Ведомственная целевая программа "Совершенствование оказания скорой медицинской помощи и деятельности Всероссийской службы медицины катастроф"</v>
      </c>
      <c r="B570" s="101" t="str">
        <f ca="1">IFERROR(__xludf.DUMMYFUNCTION("""COMPUTED_VALUE"""),"индикатор")</f>
        <v>индикатор</v>
      </c>
    </row>
    <row r="571" spans="1:2" ht="13">
      <c r="A571" s="101" t="str">
        <f ca="1">IFERROR(__xludf.DUMMYFUNCTION("""COMPUTED_VALUE"""),"Ведомственная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f>
        <v>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v>
      </c>
      <c r="B571" s="101" t="str">
        <f ca="1">IFERROR(__xludf.DUMMYFUNCTION("""COMPUTED_VALUE"""),"индикатор")</f>
        <v>индикатор</v>
      </c>
    </row>
    <row r="572" spans="1:2" ht="13">
      <c r="A572" s="101" t="str">
        <f ca="1">IFERROR(__xludf.DUMMYFUNCTION("""COMPUTED_VALUE"""),"Ведомственная целевая программа ""Донорство и трансплантация органов в Российской Федерации""")</f>
        <v>Ведомственная целевая программа "Донорство и трансплантация органов в Российской Федерации"</v>
      </c>
      <c r="B572" s="101" t="str">
        <f ca="1">IFERROR(__xludf.DUMMYFUNCTION("""COMPUTED_VALUE"""),"индикатор")</f>
        <v>индикатор</v>
      </c>
    </row>
    <row r="573" spans="1:2" ht="13">
      <c r="A573" s="101" t="str">
        <f ca="1">IFERROR(__xludf.DUMMYFUNCTION("""COMPUTED_VALUE"""),"Ведомственная целевая программа ""Развитие службы крови""")</f>
        <v>Ведомственная целевая программа "Развитие службы крови"</v>
      </c>
      <c r="B573" s="101" t="str">
        <f ca="1">IFERROR(__xludf.DUMMYFUNCTION("""COMPUTED_VALUE"""),"индикатор")</f>
        <v>индикатор</v>
      </c>
    </row>
    <row r="574" spans="1:2" ht="13">
      <c r="A574" s="101" t="str">
        <f ca="1">IFERROR(__xludf.DUMMYFUNCTION("""COMPUTED_VALUE"""),"Ведомственная целевая программа ""Высокотехнологичная медицинская помощь и медицинская помощь, оказываемая в рамках клинической апробации методов профилактики, диагностики, лечения и реабилитации""")</f>
        <v>Ведомственная целевая программа "Высокотехнологичная медицинская помощь и медицинская помощь, оказываемая в рамках клинической апробации методов профилактики, диагностики, лечения и реабилитации"</v>
      </c>
      <c r="B574" s="101" t="str">
        <f ca="1">IFERROR(__xludf.DUMMYFUNCTION("""COMPUTED_VALUE"""),"индикатор")</f>
        <v>индикатор</v>
      </c>
    </row>
    <row r="575" spans="1:2" ht="13">
      <c r="A575" s="101" t="str">
        <f ca="1">IFERROR(__xludf.DUMMYFUNCTION("""COMPUTED_VALUE"""),"Ведомственная целевая программа ""Предупреждение и борьба с социально значимыми инфекционными заболеваниями""")</f>
        <v>Ведомственная целевая программа "Предупреждение и борьба с социально значимыми инфекционными заболеваниями"</v>
      </c>
      <c r="B575" s="101" t="str">
        <f ca="1">IFERROR(__xludf.DUMMYFUNCTION("""COMPUTED_VALUE"""),"индикатор")</f>
        <v>индикатор</v>
      </c>
    </row>
    <row r="576" spans="1:2" ht="13">
      <c r="A576" s="101" t="str">
        <f ca="1">IFERROR(__xludf.DUMMYFUNCTION("""COMPUTED_VALUE"""),"Ведомственная целевая программа ""Укрепление материально-технической базы учреждений""")</f>
        <v>Ведомственная целевая программа "Укрепление материально-технической базы учреждений"</v>
      </c>
      <c r="B576" s="101" t="str">
        <f ca="1">IFERROR(__xludf.DUMMYFUNCTION("""COMPUTED_VALUE"""),"индикатор")</f>
        <v>индикатор</v>
      </c>
    </row>
    <row r="577" spans="1:2" ht="13">
      <c r="A577" s="101" t="str">
        <f ca="1">IFERROR(__xludf.DUMMYFUNCTION("""COMPUTED_VALUE"""),"Ведомственная целевая программа ""Развитие системы оказания паллиативной медицинской помощи""")</f>
        <v>Ведомственная целевая программа "Развитие системы оказания паллиативной медицинской помощи"</v>
      </c>
      <c r="B577" s="101" t="str">
        <f ca="1">IFERROR(__xludf.DUMMYFUNCTION("""COMPUTED_VALUE"""),"индикатор")</f>
        <v>индикатор</v>
      </c>
    </row>
    <row r="578" spans="1:2" ht="13">
      <c r="A578" s="101" t="str">
        <f ca="1">IFERROR(__xludf.DUMMYFUNCTION("""COMPUTED_VALUE"""),"Ведомственная целевая программа ""Обеспечение отдельных категорий граждан лекарственными препаратами в амбулаторных условиях""")</f>
        <v>Ведомственная целевая программа "Обеспечение отдельных категорий граждан лекарственными препаратами в амбулаторных условиях"</v>
      </c>
      <c r="B578" s="101" t="str">
        <f ca="1">IFERROR(__xludf.DUMMYFUNCTION("""COMPUTED_VALUE"""),"индикатор")</f>
        <v>индикатор</v>
      </c>
    </row>
    <row r="579" spans="1:2" ht="13">
      <c r="A579" s="101" t="str">
        <f ca="1">IFERROR(__xludf.DUMMYFUNCTION("""COMPUTED_VALUE"""),"Ведомственная целевая программа ""Организация обязательного медицинского страхования в Российской Федерации""")</f>
        <v>Ведомственная целевая программа "Организация обязательного медицинского страхования в Российской Федерации"</v>
      </c>
      <c r="B579" s="101" t="str">
        <f ca="1">IFERROR(__xludf.DUMMYFUNCTION("""COMPUTED_VALUE"""),"индикатор")</f>
        <v>индикатор</v>
      </c>
    </row>
    <row r="580" spans="1:2" ht="13">
      <c r="A580" s="101" t="str">
        <f ca="1">IFERROR(__xludf.DUMMYFUNCTION("""COMPUTED_VALUE"""),"Ведомственная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f>
        <v>Ведомственная целевая программа "Организация оказания медицинской помощи учреждениями, подведомственными Управлению делами Президента Российской Федерации"</v>
      </c>
      <c r="B580" s="101" t="str">
        <f ca="1">IFERROR(__xludf.DUMMYFUNCTION("""COMPUTED_VALUE"""),"индикатор")</f>
        <v>индикатор</v>
      </c>
    </row>
    <row r="581" spans="1:2" ht="13">
      <c r="A581" s="101" t="str">
        <f ca="1">IFERROR(__xludf.DUMMYFUNCTION("""COMPUTED_VALUE"""),"Ведомственная целевая программа ""Медицинское обеспечение авиационного персонала гражданской авиации""")</f>
        <v>Ведомственная целевая программа "Медицинское обеспечение авиационного персонала гражданской авиации"</v>
      </c>
      <c r="B581" s="101" t="str">
        <f ca="1">IFERROR(__xludf.DUMMYFUNCTION("""COMPUTED_VALUE"""),"индикатор")</f>
        <v>индикатор</v>
      </c>
    </row>
    <row r="582" spans="1:2" ht="13">
      <c r="A582" s="101" t="str">
        <f ca="1">IFERROR(__xludf.DUMMYFUNCTION("""COMPUTED_VALUE"""),"Ведомственная целевая программа ""Содействие развитию среднего профессионального образования и дополнительного профессионального образования""")</f>
        <v>Ведомственная целевая программа "Содействие развитию среднего профессионального образования и дополнительного профессионального образования"</v>
      </c>
      <c r="B582" s="101" t="str">
        <f ca="1">IFERROR(__xludf.DUMMYFUNCTION("""COMPUTED_VALUE"""),"индикатор")</f>
        <v>индикатор</v>
      </c>
    </row>
    <row r="583" spans="1:2" ht="13">
      <c r="A583" s="101" t="str">
        <f ca="1">IFERROR(__xludf.DUMMYFUNCTION("""COMPUTED_VALUE"""),"Ведомственная целевая программа ""Развитие современных механизмов и технологий дошкольного и общего образования""")</f>
        <v>Ведомственная целевая программа "Развитие современных механизмов и технологий дошкольного и общего образования"</v>
      </c>
      <c r="B583" s="101" t="str">
        <f ca="1">IFERROR(__xludf.DUMMYFUNCTION("""COMPUTED_VALUE"""),"индикатор")</f>
        <v>индикатор</v>
      </c>
    </row>
    <row r="584" spans="1:2" ht="13">
      <c r="A584" s="101" t="str">
        <f ca="1">IFERROR(__xludf.DUMMYFUNCTION("""COMPUTED_VALUE"""),"Ведомственная целевая программа ""Развитие дополнительного образования детей, выявление и поддержка лиц, проявивших выдающиеся способности""")</f>
        <v>Ведомственная целевая программа "Развитие дополнительного образования детей, выявление и поддержка лиц, проявивших выдающиеся способности"</v>
      </c>
      <c r="B584" s="101" t="str">
        <f ca="1">IFERROR(__xludf.DUMMYFUNCTION("""COMPUTED_VALUE"""),"индикатор")</f>
        <v>индикатор</v>
      </c>
    </row>
    <row r="585" spans="1:2" ht="13">
      <c r="A585" s="101" t="str">
        <f ca="1">IFERROR(__xludf.DUMMYFUNCTION("""COMPUTED_VALUE"""),"Ведомственная целевая программа ""Развитие сферы отдыха и оздоровления детей""")</f>
        <v>Ведомственная целевая программа "Развитие сферы отдыха и оздоровления детей"</v>
      </c>
      <c r="B585" s="101" t="str">
        <f ca="1">IFERROR(__xludf.DUMMYFUNCTION("""COMPUTED_VALUE"""),"индикатор")</f>
        <v>индикатор</v>
      </c>
    </row>
    <row r="586" spans="1:2" ht="13">
      <c r="A586" s="101" t="str">
        <f ca="1">IFERROR(__xludf.DUMMYFUNCTION("""COMPUTED_VALUE"""),"Ведомственная целевая программа ""Поддержка молодежных инициатив и патриотического воспитания""")</f>
        <v>Ведомственная целевая программа "Поддержка молодежных инициатив и патриотического воспитания"</v>
      </c>
      <c r="B586" s="101" t="str">
        <f ca="1">IFERROR(__xludf.DUMMYFUNCTION("""COMPUTED_VALUE"""),"индикатор")</f>
        <v>индикатор</v>
      </c>
    </row>
    <row r="587" spans="1:2" ht="13">
      <c r="A587" s="101" t="str">
        <f ca="1">IFERROR(__xludf.DUMMYFUNCTION("""COMPUTED_VALUE"""),"Ведомственная целевая программа ""Качество образования""")</f>
        <v>Ведомственная целевая программа "Качество образования"</v>
      </c>
      <c r="B587" s="101" t="str">
        <f ca="1">IFERROR(__xludf.DUMMYFUNCTION("""COMPUTED_VALUE"""),"индикатор")</f>
        <v>индикатор</v>
      </c>
    </row>
    <row r="588" spans="1:2" ht="13">
      <c r="A588" s="101" t="str">
        <f ca="1">IFERROR(__xludf.DUMMYFUNCTION("""COMPUTED_VALUE"""),"Ведомственная целевая программа ""Поддержка инноваций в области развития и мониторинга системы образования, обеспечение эффективности конкурсных механизмов реализации программных мероприятий в сфере образования""")</f>
        <v>Ведомственная целевая программа "Поддержка инноваций в области развития и мониторинга системы образования, обеспечение эффективности конкурсных механизмов реализации программных мероприятий в сфере образования"</v>
      </c>
      <c r="B588" s="101" t="str">
        <f ca="1">IFERROR(__xludf.DUMMYFUNCTION("""COMPUTED_VALUE"""),"индикатор")</f>
        <v>индикатор</v>
      </c>
    </row>
    <row r="589" spans="1:2" ht="13">
      <c r="A589" s="101" t="str">
        <f ca="1">IFERROR(__xludf.DUMMYFUNCTION("""COMPUTED_VALUE"""),"Основное мероприятие ""Реализация функций ответственного исполнителя государственной программы""")</f>
        <v>Основное мероприятие "Реализация функций ответственного исполнителя государственной программы"</v>
      </c>
      <c r="B589" s="101" t="str">
        <f ca="1">IFERROR(__xludf.DUMMYFUNCTION("""COMPUTED_VALUE"""),"индикатор")</f>
        <v>индикатор</v>
      </c>
    </row>
    <row r="590" spans="1:2" ht="13">
      <c r="A590" s="101" t="str">
        <f ca="1">IFERROR(__xludf.DUMMYFUNCTION("""COMPUTED_VALUE"""),"Ведомственная целевая программа ""Научно-методическое, методическое и кадровое обеспечение обучения русскому языку и языкам народов Российской Федерации""")</f>
        <v>Ведомственная целевая программа "Научно-методическое, методическое и кадровое обеспечение обучения русскому языку и языкам народов Российской Федерации"</v>
      </c>
      <c r="B590" s="101" t="str">
        <f ca="1">IFERROR(__xludf.DUMMYFUNCTION("""COMPUTED_VALUE"""),"индикатор")</f>
        <v>индикатор</v>
      </c>
    </row>
    <row r="591" spans="1:2" ht="13">
      <c r="A591" s="101" t="str">
        <f ca="1">IFERROR(__xludf.DUMMYFUNCTION("""COMPUTED_VALUE"""),"Основное мероприятие ""Оказание мер государственной поддержки гражданам, подвергшимся воздействию радиации вследствие радиационных аварий и ядерных испытаний""")</f>
        <v>Основное мероприятие "Оказание мер государственной поддержки гражданам, подвергшимся воздействию радиации вследствие радиационных аварий и ядерных испытаний"</v>
      </c>
      <c r="B591" s="101" t="str">
        <f ca="1">IFERROR(__xludf.DUMMYFUNCTION("""COMPUTED_VALUE"""),"индикатор")</f>
        <v>индикатор</v>
      </c>
    </row>
    <row r="592" spans="1:2" ht="13">
      <c r="A592" s="101" t="str">
        <f ca="1">IFERROR(__xludf.DUMMYFUNCTION("""COMPUTED_VALUE"""),"Основное мероприятие ""Предоставление мер государственной поддержки Героям Советского Союза, Героям Российской Федерации и полным кавалерам ордена Славы""")</f>
        <v>Основное мероприятие "Предоставление мер государственной поддержки Героям Советского Союза, Героям Российской Федерации и полным кавалерам ордена Славы"</v>
      </c>
      <c r="B592" s="101" t="str">
        <f ca="1">IFERROR(__xludf.DUMMYFUNCTION("""COMPUTED_VALUE"""),"индикатор")</f>
        <v>индикатор</v>
      </c>
    </row>
    <row r="593" spans="1:2" ht="13">
      <c r="A593" s="101" t="str">
        <f ca="1">IFERROR(__xludf.DUMMYFUNCTION("""COMPUTED_VALUE"""),"Основное мероприятие ""Предоставление мер государственной поддержки Героям Социалистического Труда, Героям Труда Российской Федерации и полным кавалерам ордена Трудовой Славы""")</f>
        <v>Основное мероприятие "Предоставление мер государственной поддержки Героям Социалистического Труда, Героям Труда Российской Федерации и полным кавалерам ордена Трудовой Славы"</v>
      </c>
      <c r="B593" s="101" t="str">
        <f ca="1">IFERROR(__xludf.DUMMYFUNCTION("""COMPUTED_VALUE"""),"индикатор")</f>
        <v>индикатор</v>
      </c>
    </row>
    <row r="594" spans="1:2" ht="13">
      <c r="A594" s="101" t="str">
        <f ca="1">IFERROR(__xludf.DUMMYFUNCTION("""COMPUTED_VALUE"""),"Основное мероприятие ""Оказание мер социальной поддержки ветеранам Великой Отечественной войны и боевых действий""")</f>
        <v>Основное мероприятие "Оказание мер социальной поддержки ветеранам Великой Отечественной войны и боевых действий"</v>
      </c>
      <c r="B594" s="101" t="str">
        <f ca="1">IFERROR(__xludf.DUMMYFUNCTION("""COMPUTED_VALUE"""),"индикатор")</f>
        <v>индикатор</v>
      </c>
    </row>
    <row r="595" spans="1:2" ht="13">
      <c r="A595" s="101" t="str">
        <f ca="1">IFERROR(__xludf.DUMMYFUNCTION("""COMPUTED_VALUE"""),"Основное мероприятие ""Оказание мер государственной поддержки инвалидам""")</f>
        <v>Основное мероприятие "Оказание мер государственной поддержки инвалидам"</v>
      </c>
      <c r="B595" s="101" t="str">
        <f ca="1">IFERROR(__xludf.DUMMYFUNCTION("""COMPUTED_VALUE"""),"индикатор")</f>
        <v>индикатор</v>
      </c>
    </row>
    <row r="596" spans="1:2" ht="13">
      <c r="A596" s="101" t="str">
        <f ca="1">IFERROR(__xludf.DUMMYFUNCTION("""COMPUTED_VALUE"""),"Основное мероприятие ""Предоставление отдельным категориям граждан государственной социальной помощи в виде набора социальных услуг в части санаторно-курортного лечения, проезда к месту лечения и обратно, а также проезда на железнодорожном транспорте приг"&amp;"ородного сообщения""")</f>
        <v>Основное мероприятие "Предоставление отдельным категориям граждан государственной социальной помощи в виде набора социальных услуг в части санаторно-курортного лечения, проезда к месту лечения и обратно, а также проезда на железнодорожном транспорте пригородного сообщения"</v>
      </c>
      <c r="B596" s="101" t="str">
        <f ca="1">IFERROR(__xludf.DUMMYFUNCTION("""COMPUTED_VALUE"""),"индикатор")</f>
        <v>индикатор</v>
      </c>
    </row>
    <row r="597" spans="1:2" ht="13">
      <c r="A597" s="101" t="str">
        <f ca="1">IFERROR(__xludf.DUMMYFUNCTION("""COMPUTED_VALUE"""),"Основное мероприятие ""Предоставление социальных доплат к пенсии""")</f>
        <v>Основное мероприятие "Предоставление социальных доплат к пенсии"</v>
      </c>
      <c r="B597" s="101" t="str">
        <f ca="1">IFERROR(__xludf.DUMMYFUNCTION("""COMPUTED_VALUE"""),"индикатор")</f>
        <v>индикатор</v>
      </c>
    </row>
    <row r="598" spans="1:2" ht="13">
      <c r="A598" s="101" t="str">
        <f ca="1">IFERROR(__xludf.DUMMYFUNCTION("""COMPUTED_VALUE"""),"Основное мероприятие ""Оказание мер социальной поддержки по оплате жилищно-коммунальных услуг отдельным категориям граждан""")</f>
        <v>Основное мероприятие "Оказание мер социальной поддержки по оплате жилищно-коммунальных услуг отдельным категориям граждан"</v>
      </c>
      <c r="B598" s="101" t="str">
        <f ca="1">IFERROR(__xludf.DUMMYFUNCTION("""COMPUTED_VALUE"""),"индикатор")</f>
        <v>индикатор</v>
      </c>
    </row>
    <row r="599" spans="1:2" ht="13">
      <c r="A599" s="101" t="str">
        <f ca="1">IFERROR(__xludf.DUMMYFUNCTION("""COMPUTED_VALUE"""),"Основное мероприятие ""Оказание мер государственной поддержки лицам, ходатайствующим о признании их беженцами или вынужденными переселенцами, а также прибывшим с ними членам их семей""")</f>
        <v>Основное мероприятие "Оказание мер государственной поддержки лицам, ходатайствующим о признании их беженцами или вынужденными переселенцами, а также прибывшим с ними членам их семей"</v>
      </c>
      <c r="B599" s="101" t="str">
        <f ca="1">IFERROR(__xludf.DUMMYFUNCTION("""COMPUTED_VALUE"""),"индикатор")</f>
        <v>индикатор</v>
      </c>
    </row>
    <row r="600" spans="1:2" ht="13">
      <c r="A600" s="101" t="str">
        <f ca="1">IFERROR(__xludf.DUMMYFUNCTION("""COMPUTED_VALUE"""),"Основное мероприятие ""Оказание мер государственной поддержки гражданам, пострадавшим в результате разрешения кризиса в Чеченской Республике и покинувшим ее безвозвратно""")</f>
        <v>Основное мероприятие "Оказание мер государственной поддержки гражданам, пострадавшим в результате разрешения кризиса в Чеченской Республике и покинувшим ее безвозвратно"</v>
      </c>
      <c r="B600" s="101" t="str">
        <f ca="1">IFERROR(__xludf.DUMMYFUNCTION("""COMPUTED_VALUE"""),"индикатор")</f>
        <v>индикатор</v>
      </c>
    </row>
    <row r="601" spans="1:2" ht="13">
      <c r="A601" s="101" t="str">
        <f ca="1">IFERROR(__xludf.DUMMYFUNCTION("""COMPUTED_VALUE"""),"Основное мероприятие ""Оказание мер социальной поддержки лицам, награжденным нагрудным знаком ""Почетный донор России""")</f>
        <v>Основное мероприятие "Оказание мер социальной поддержки лицам, награжденным нагрудным знаком "Почетный донор России"</v>
      </c>
      <c r="B601" s="101" t="str">
        <f ca="1">IFERROR(__xludf.DUMMYFUNCTION("""COMPUTED_VALUE"""),"индикатор")</f>
        <v>индикатор</v>
      </c>
    </row>
    <row r="602" spans="1:2" ht="13">
      <c r="A602" s="101" t="str">
        <f ca="1">IFERROR(__xludf.DUMMYFUNCTION("""COMPUTED_VALUE"""),"Основное мероприятие ""Оказание мер социальной поддержки гражданам при возникновении поствакцинальных осложнений""")</f>
        <v>Основное мероприятие "Оказание мер социальной поддержки гражданам при возникновении поствакцинальных осложнений"</v>
      </c>
      <c r="B602" s="101" t="str">
        <f ca="1">IFERROR(__xludf.DUMMYFUNCTION("""COMPUTED_VALUE"""),"индикатор")</f>
        <v>индикатор</v>
      </c>
    </row>
    <row r="603" spans="1:2" ht="13">
      <c r="A603" s="101" t="str">
        <f ca="1">IFERROR(__xludf.DUMMYFUNCTION("""COMPUTED_VALUE"""),"Основное мероприятие ""Осуществление компенсационных выплат реабилитированным лицам""")</f>
        <v>Основное мероприятие "Осуществление компенсационных выплат реабилитированным лицам"</v>
      </c>
      <c r="B603" s="101" t="str">
        <f ca="1">IFERROR(__xludf.DUMMYFUNCTION("""COMPUTED_VALUE"""),"индикатор")</f>
        <v>индикатор</v>
      </c>
    </row>
    <row r="604" spans="1:2" ht="13">
      <c r="A604" s="101" t="str">
        <f ca="1">IFERROR(__xludf.DUMMYFUNCTION("""COMPUTED_VALUE"""),"Основное мероприятие ""Оказание поддержки в связи с погребением умерших""")</f>
        <v>Основное мероприятие "Оказание поддержки в связи с погребением умерших"</v>
      </c>
      <c r="B604" s="101" t="str">
        <f ca="1">IFERROR(__xludf.DUMMYFUNCTION("""COMPUTED_VALUE"""),"индикатор")</f>
        <v>индикатор</v>
      </c>
    </row>
    <row r="605" spans="1:2" ht="13">
      <c r="A605" s="101" t="str">
        <f ca="1">IFERROR(__xludf.DUMMYFUNCTION("""COMPUTED_VALUE"""),"Основное мероприятие ""Оказание мер государственной поддержки отдельным категориям государственных служащих, а также уволенным из их числа и членам их семей""")</f>
        <v>Основное мероприятие "Оказание мер государственной поддержки отдельным категориям государственных служащих, а также уволенным из их числа и членам их семей"</v>
      </c>
      <c r="B605" s="101" t="str">
        <f ca="1">IFERROR(__xludf.DUMMYFUNCTION("""COMPUTED_VALUE"""),"индикатор")</f>
        <v>индикатор</v>
      </c>
    </row>
    <row r="606" spans="1:2" ht="13">
      <c r="A606" s="101" t="str">
        <f ca="1">IFERROR(__xludf.DUMMYFUNCTION("""COMPUTED_VALUE"""),"Основное мероприятие ""Оказание мер государственной поддержки отдельным категориям государственных служащих, гражданам в связи с исполнением обязанностей военной службы по призыву, получившим увечье или иное повреждение здоровья, а также членам их семей""")</f>
        <v>Основное мероприятие "Оказание мер государственной поддержки отдельным категориям государственных служащих, гражданам в связи с исполнением обязанностей военной службы по призыву, получившим увечье или иное повреждение здоровья, а также членам их семей"</v>
      </c>
      <c r="B606" s="101" t="str">
        <f ca="1">IFERROR(__xludf.DUMMYFUNCTION("""COMPUTED_VALUE"""),"индикатор")</f>
        <v>индикатор</v>
      </c>
    </row>
    <row r="607" spans="1:2" ht="13">
      <c r="A607" s="101" t="str">
        <f ca="1">IFERROR(__xludf.DUMMYFUNCTION("""COMPUTED_VALUE"""),"Основное мероприятие ""Оказание государственной поддержки членам семей лиц, погибших при осуществлении мероприятий по борьбе с терроризмом, а также лицам, получившим увечья при осуществлении указанных мероприятий, повлекшие наступление инвалидности""")</f>
        <v>Основное мероприятие "Оказание государственной поддержки членам семей лиц, погибших при осуществлении мероприятий по борьбе с терроризмом, а также лицам, получившим увечья при осуществлении указанных мероприятий, повлекшие наступление инвалидности"</v>
      </c>
      <c r="B607" s="101" t="str">
        <f ca="1">IFERROR(__xludf.DUMMYFUNCTION("""COMPUTED_VALUE"""),"индикатор")</f>
        <v>индикатор</v>
      </c>
    </row>
    <row r="608" spans="1:2" ht="13">
      <c r="A608" s="101" t="str">
        <f ca="1">IFERROR(__xludf.DUMMYFUNCTION("""COMPUTED_VALUE"""),"Основное мероприятие ""Осуществление компенсационных выплат лицам, осуществляющим уход за нетрудоспособными гражданами и детьми-инвалидами""")</f>
        <v>Основное мероприятие "Осуществление компенсационных выплат лицам, осуществляющим уход за нетрудоспособными гражданами и детьми-инвалидами"</v>
      </c>
      <c r="B608" s="101" t="str">
        <f ca="1">IFERROR(__xludf.DUMMYFUNCTION("""COMPUTED_VALUE"""),"индикатор")</f>
        <v>индикатор</v>
      </c>
    </row>
    <row r="609" spans="1:2" ht="13">
      <c r="A609" s="101" t="str">
        <f ca="1">IFERROR(__xludf.DUMMYFUNCTION("""COMPUTED_VALUE"""),"Основное мероприятие ""Выплата дополнительного материального обеспечения гражданам за выдающиеся достижения и особые заслуги перед Российской Федерацией""")</f>
        <v>Основное мероприятие "Выплата дополнительного материального обеспечения гражданам за выдающиеся достижения и особые заслуги перед Российской Федерацией"</v>
      </c>
      <c r="B609" s="101" t="str">
        <f ca="1">IFERROR(__xludf.DUMMYFUNCTION("""COMPUTED_VALUE"""),"индикатор")</f>
        <v>индикатор</v>
      </c>
    </row>
    <row r="610" spans="1:2" ht="13">
      <c r="A610" s="101" t="str">
        <f ca="1">IFERROR(__xludf.DUMMYFUNCTION("""COMPUTED_VALUE"""),"Основное мероприятие ""Страховое обеспечение по обязательному социальному страхованию от несчастных случаев на производстве и профессиональных заболеваний""")</f>
        <v>Основное мероприятие "Страховое обеспечение по обязательному социальному страхованию от несчастных случаев на производстве и профессиональных заболеваний"</v>
      </c>
      <c r="B610" s="101" t="str">
        <f ca="1">IFERROR(__xludf.DUMMYFUNCTION("""COMPUTED_VALUE"""),"индикатор")</f>
        <v>индикатор</v>
      </c>
    </row>
    <row r="611" spans="1:2" ht="13">
      <c r="A611" s="101" t="str">
        <f ca="1">IFERROR(__xludf.DUMMYFUNCTION("""COMPUTED_VALUE"""),"Основное мероприятие ""Предоставление отдельным категориям граждан государственной социальной помощи на основании социального контракта""")</f>
        <v>Основное мероприятие "Предоставление отдельным категориям граждан государственной социальной помощи на основании социального контракта"</v>
      </c>
      <c r="B611" s="101" t="str">
        <f ca="1">IFERROR(__xludf.DUMMYFUNCTION("""COMPUTED_VALUE"""),"индикатор")</f>
        <v>индикатор</v>
      </c>
    </row>
    <row r="612" spans="1:2" ht="13">
      <c r="A612" s="101" t="str">
        <f ca="1">IFERROR(__xludf.DUMMYFUNCTION("""COMPUTED_VALUE"""),"Основное мероприятие ""Обеспечение обязательного социального страхования на случай временной нетрудоспособности и в связи с материнством""")</f>
        <v>Основное мероприятие "Обеспечение обязательного социального страхования на случай временной нетрудоспособности и в связи с материнством"</v>
      </c>
      <c r="B612" s="101" t="str">
        <f ca="1">IFERROR(__xludf.DUMMYFUNCTION("""COMPUTED_VALUE"""),"индикатор")</f>
        <v>индикатор</v>
      </c>
    </row>
    <row r="613" spans="1:2" ht="13">
      <c r="A613" s="101" t="str">
        <f ca="1">IFERROR(__xludf.DUMMYFUNCTION("""COMPUTED_VALUE"""),"Основное мероприятие ""Предоставление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f>
        <v>Основное мероприятие "Предоставление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v>
      </c>
      <c r="B613" s="101" t="str">
        <f ca="1">IFERROR(__xludf.DUMMYFUNCTION("""COMPUTED_VALUE"""),"индикатор")</f>
        <v>индикатор</v>
      </c>
    </row>
    <row r="614" spans="1:2" ht="13">
      <c r="A614" s="101" t="str">
        <f ca="1">IFERROR(__xludf.DUMMYFUNCTION("""COMPUTED_VALUE"""),"Основное мероприятие ""Обеспечение деятельности учреждений социального обслуживания граждан""")</f>
        <v>Основное мероприятие "Обеспечение деятельности учреждений социального обслуживания граждан"</v>
      </c>
      <c r="B614" s="101" t="str">
        <f ca="1">IFERROR(__xludf.DUMMYFUNCTION("""COMPUTED_VALUE"""),"индикатор")</f>
        <v>индикатор</v>
      </c>
    </row>
    <row r="615" spans="1:2" ht="13">
      <c r="A615" s="101" t="str">
        <f ca="1">IFERROR(__xludf.DUMMYFUNCTION("""COMPUTED_VALUE"""),"Основное мероприятие ""Поощрение победителей Всероссийского конкурса на звание ""Лучший работник учреждений социального обслуживания""")</f>
        <v>Основное мероприятие "Поощрение победителей Всероссийского конкурса на звание "Лучший работник учреждений социального обслуживания"</v>
      </c>
      <c r="B615" s="101" t="str">
        <f ca="1">IFERROR(__xludf.DUMMYFUNCTION("""COMPUTED_VALUE"""),"индикатор")</f>
        <v>индикатор</v>
      </c>
    </row>
    <row r="616" spans="1:2" ht="13">
      <c r="A616" s="101" t="str">
        <f ca="1">IFERROR(__xludf.DUMMYFUNCTION("""COMPUTED_VALUE"""),"Основное мероприятие ""Привлечение в сферу социального обслуживания населения бизнеса и социально ориентированных некоммерческих организаций, благотворителей и добровольцев""")</f>
        <v>Основное мероприятие "Привлечение в сферу социального обслуживания населения бизнеса и социально ориентированных некоммерческих организаций, благотворителей и добровольцев"</v>
      </c>
      <c r="B616" s="101" t="str">
        <f ca="1">IFERROR(__xludf.DUMMYFUNCTION("""COMPUTED_VALUE"""),"индикатор")</f>
        <v>индикатор</v>
      </c>
    </row>
    <row r="617" spans="1:2" ht="13">
      <c r="A617" s="101" t="str">
        <f ca="1">IFERROR(__xludf.DUMMYFUNCTION("""COMPUTED_VALUE"""),"Основное мероприятие ""Оказание финансовой поддержки бюджетам субъектов Российской Федерации на осуществление мероприятий по укреплению материально-технической базы организаций социального обслуживания""")</f>
        <v>Основное мероприятие "Оказание финансовой поддержки бюджетам субъектов Российской Федерации на осуществление мероприятий по укреплению материально-технической базы организаций социального обслуживания"</v>
      </c>
      <c r="B617" s="101" t="str">
        <f ca="1">IFERROR(__xludf.DUMMYFUNCTION("""COMPUTED_VALUE"""),"индикатор")</f>
        <v>индикатор</v>
      </c>
    </row>
    <row r="618" spans="1:2" ht="13">
      <c r="A618" s="101" t="str">
        <f ca="1">IFERROR(__xludf.DUMMYFUNCTION("""COMPUTED_VALUE"""),"Основное мероприятие ""Оказание мер государственной поддержки в связи с беременностью и родами, а также гражданам, имеющим детей""")</f>
        <v>Основное мероприятие "Оказание мер государственной поддержки в связи с беременностью и родами, а также гражданам, имеющим детей"</v>
      </c>
      <c r="B618" s="101" t="str">
        <f ca="1">IFERROR(__xludf.DUMMYFUNCTION("""COMPUTED_VALUE"""),"индикатор")</f>
        <v>индикатор</v>
      </c>
    </row>
    <row r="619" spans="1:2" ht="13">
      <c r="A619" s="101" t="str">
        <f ca="1">IFERROR(__xludf.DUMMYFUNCTION("""COMPUTED_VALUE"""),"Основное мероприятие ""Обеспечение выплаты пособий по уходу за ребенком гражданам, подвергшимся воздействию радиации вследствие радиационных аварий и ядерных испытаний""")</f>
        <v>Основное мероприятие "Обеспечение выплаты пособий по уходу за ребенком гражданам, подвергшимся воздействию радиации вследствие радиационных аварий и ядерных испытаний"</v>
      </c>
      <c r="B619" s="101" t="str">
        <f ca="1">IFERROR(__xludf.DUMMYFUNCTION("""COMPUTED_VALUE"""),"индикатор")</f>
        <v>индикатор</v>
      </c>
    </row>
    <row r="620" spans="1:2" ht="13">
      <c r="A620" s="101" t="str">
        <f ca="1">IFERROR(__xludf.DUMMYFUNCTION("""COMPUTED_VALUE"""),"Основное мероприятие ""Обеспечение выплаты ежемесячных пособий и пособий (компенсаций) на проведение летнего оздоровительного отдыха детям погибших (умерших) военнослужащих и сотрудников некоторых федеральных органов государственной власти""")</f>
        <v>Основное мероприятие "Обеспечение выплаты ежемесячных пособий и пособий (компенсаций) на проведение летнего оздоровительного отдыха детям погибших (умерших) военнослужащих и сотрудников некоторых федеральных органов государственной власти"</v>
      </c>
      <c r="B620" s="101" t="str">
        <f ca="1">IFERROR(__xludf.DUMMYFUNCTION("""COMPUTED_VALUE"""),"индикатор")</f>
        <v>индикатор</v>
      </c>
    </row>
    <row r="621" spans="1:2" ht="13">
      <c r="A621" s="101" t="str">
        <f ca="1">IFERROR(__xludf.DUMMYFUNCTION("""COMPUTED_VALUE"""),"Основное мероприятие ""Оказание социальной поддержки многодетным семьям""")</f>
        <v>Основное мероприятие "Оказание социальной поддержки многодетным семьям"</v>
      </c>
      <c r="B621" s="101" t="str">
        <f ca="1">IFERROR(__xludf.DUMMYFUNCTION("""COMPUTED_VALUE"""),"индикатор")</f>
        <v>индикатор</v>
      </c>
    </row>
    <row r="622" spans="1:2" ht="13">
      <c r="A622" s="101" t="str">
        <f ca="1">IFERROR(__xludf.DUMMYFUNCTION("""COMPUTED_VALUE"""),"Основное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f>
        <v>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v>
      </c>
      <c r="B622" s="101" t="str">
        <f ca="1">IFERROR(__xludf.DUMMYFUNCTION("""COMPUTED_VALUE"""),"индикатор")</f>
        <v>индикатор</v>
      </c>
    </row>
    <row r="623" spans="1:2" ht="13">
      <c r="A623" s="101" t="str">
        <f ca="1">IFERROR(__xludf.DUMMYFUNCTION("""COMPUTED_VALUE"""),"Основное мероприятие ""Оказание поддержки детям, оказавшимся в трудной жизненной ситуации""")</f>
        <v>Основное мероприятие "Оказание поддержки детям, оказавшимся в трудной жизненной ситуации"</v>
      </c>
      <c r="B623" s="101" t="str">
        <f ca="1">IFERROR(__xludf.DUMMYFUNCTION("""COMPUTED_VALUE"""),"индикатор")</f>
        <v>индикатор</v>
      </c>
    </row>
    <row r="624" spans="1:2" ht="13">
      <c r="A624" s="101" t="str">
        <f ca="1">IFERROR(__xludf.DUMMYFUNCTION("""COMPUTED_VALUE"""),"Основное мероприятие ""Оказание государственной поддержки общественным и иным некоммерческим организациям""")</f>
        <v>Основное мероприятие "Оказание государственной поддержки общественным и иным некоммерческим организациям"</v>
      </c>
      <c r="B624" s="101" t="str">
        <f ca="1">IFERROR(__xludf.DUMMYFUNCTION("""COMPUTED_VALUE"""),"индикатор")</f>
        <v>индикатор</v>
      </c>
    </row>
    <row r="625" spans="1:2" ht="13">
      <c r="A625" s="101" t="str">
        <f ca="1">IFERROR(__xludf.DUMMYFUNCTION("""COMPUTED_VALUE"""),"Основное мероприятие ""Организация статистических обследований и переписей""")</f>
        <v>Основное мероприятие "Организация статистических обследований и переписей"</v>
      </c>
      <c r="B625" s="101" t="str">
        <f ca="1">IFERROR(__xludf.DUMMYFUNCTION("""COMPUTED_VALUE"""),"индикатор")</f>
        <v>индикатор</v>
      </c>
    </row>
    <row r="626" spans="1:2" ht="13">
      <c r="A626" s="101" t="str">
        <f ca="1">IFERROR(__xludf.DUMMYFUNCTION("""COMPUTED_VALUE"""),"Основное мероприятие ""Обеспечение деятельности Комитета ветеранов подразделений особого риска Российской Федерации""")</f>
        <v>Основное мероприятие "Обеспечение деятельности Комитета ветеранов подразделений особого риска Российской Федерации"</v>
      </c>
      <c r="B626" s="101" t="str">
        <f ca="1">IFERROR(__xludf.DUMMYFUNCTION("""COMPUTED_VALUE"""),"индикатор")</f>
        <v>индикатор</v>
      </c>
    </row>
    <row r="627" spans="1:2" ht="13">
      <c r="A627" s="101" t="str">
        <f ca="1">IFERROR(__xludf.DUMMYFUNCTION("""COMPUTED_VALUE"""),"Основное мероприятие ""Оказание мер социальной поддержки пенсионерам в районах Крайнего Севера и приравненных к ним местностях""")</f>
        <v>Основное мероприятие "Оказание мер социальной поддержки пенсионерам в районах Крайнего Севера и приравненных к ним местностях"</v>
      </c>
      <c r="B627" s="101" t="str">
        <f ca="1">IFERROR(__xludf.DUMMYFUNCTION("""COMPUTED_VALUE"""),"индикатор")</f>
        <v>индикатор</v>
      </c>
    </row>
    <row r="628" spans="1:2" ht="13">
      <c r="A628" s="101" t="str">
        <f ca="1">IFERROR(__xludf.DUMMYFUNCTION("""COMPUTED_VALUE"""),"Основное мероприятие ""Научно-методическое и материальное обеспечение государственной политики в сфере социальной поддержки населения""")</f>
        <v>Основное мероприятие "Научно-методическое и материальное обеспечение государственной политики в сфере социальной поддержки населения"</v>
      </c>
      <c r="B628" s="101" t="str">
        <f ca="1">IFERROR(__xludf.DUMMYFUNCTION("""COMPUTED_VALUE"""),"индикатор")</f>
        <v>индикатор</v>
      </c>
    </row>
    <row r="629" spans="1:2" ht="13">
      <c r="A629" s="101" t="str">
        <f ca="1">IFERROR(__xludf.DUMMYFUNCTION("""COMPUTED_VALUE"""),"Основное мероприятие ""Развитие международного сотрудничества в сфере социальной поддержки граждан""")</f>
        <v>Основное мероприятие "Развитие международного сотрудничества в сфере социальной поддержки граждан"</v>
      </c>
      <c r="B629" s="101" t="str">
        <f ca="1">IFERROR(__xludf.DUMMYFUNCTION("""COMPUTED_VALUE"""),"индикатор")</f>
        <v>индикатор</v>
      </c>
    </row>
    <row r="630" spans="1:2" ht="13">
      <c r="A630" s="101" t="str">
        <f ca="1">IFERROR(__xludf.DUMMYFUNCTION("""COMPUTED_VALUE"""),"Основное мероприятие ""Нормативно-правовое и организационно-методическое обеспечение реализации мероприятий в области формирования доступной среды""")</f>
        <v>Основное мероприятие "Нормативно-правовое и организационно-методическое обеспечение реализации мероприятий в области формирования доступной среды"</v>
      </c>
      <c r="B630" s="101" t="str">
        <f ca="1">IFERROR(__xludf.DUMMYFUNCTION("""COMPUTED_VALUE"""),"индикатор")</f>
        <v>индикатор</v>
      </c>
    </row>
    <row r="631" spans="1:2" ht="13">
      <c r="A631" s="101" t="str">
        <f ca="1">IFERROR(__xludf.DUMMYFUNCTION("""COMPUTED_VALUE"""),"Основное мероприятие ""Содействие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f>
        <v>Основное мероприятие "Содействие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v>
      </c>
      <c r="B631" s="101" t="str">
        <f ca="1">IFERROR(__xludf.DUMMYFUNCTION("""COMPUTED_VALUE"""),"индикатор")</f>
        <v>индикатор</v>
      </c>
    </row>
    <row r="632" spans="1:2" ht="13">
      <c r="A632" s="101" t="str">
        <f ca="1">IFERROR(__xludf.DUMMYFUNCTION("""COMPUTED_VALUE"""),"Основное мероприятие ""Обеспечение информационной доступности для инвалидов""")</f>
        <v>Основное мероприятие "Обеспечение информационной доступности для инвалидов"</v>
      </c>
      <c r="B632" s="101" t="str">
        <f ca="1">IFERROR(__xludf.DUMMYFUNCTION("""COMPUTED_VALUE"""),"индикатор")</f>
        <v>индикатор</v>
      </c>
    </row>
    <row r="633" spans="1:2" ht="13">
      <c r="A633" s="101" t="str">
        <f ca="1">IFERROR(__xludf.DUMMYFUNCTION("""COMPUTED_VALUE"""),"Основное мероприятие ""Организация социологических исследований и общественно-просветительских кампаний в сфере формирования доступной среды для инвалидов и других маломобильных групп населения""")</f>
        <v>Основное мероприятие "Организация социологических исследований и общественно-просветительских кампаний в сфере формирования доступной среды для инвалидов и других маломобильных групп населения"</v>
      </c>
      <c r="B633" s="101" t="str">
        <f ca="1">IFERROR(__xludf.DUMMYFUNCTION("""COMPUTED_VALUE"""),"индикатор")</f>
        <v>индикатор</v>
      </c>
    </row>
    <row r="634" spans="1:2" ht="13">
      <c r="A634" s="101" t="str">
        <f ca="1">IFERROR(__xludf.DUMMYFUNCTION("""COMPUTED_VALUE"""),"Основное мероприятие ""Нормативно-правовое и организационно-методическое обеспечение реализации мероприятий, направленных на совершенствование комплексной реабилитации и абилитации инвалидов""")</f>
        <v>Основное мероприятие "Нормативно-правовое и организационно-методическое обеспечение реализации мероприятий, направленных на совершенствование комплексной реабилитации и абилитации инвалидов"</v>
      </c>
      <c r="B634" s="101" t="str">
        <f ca="1">IFERROR(__xludf.DUMMYFUNCTION("""COMPUTED_VALUE"""),"индикатор")</f>
        <v>индикатор</v>
      </c>
    </row>
    <row r="635" spans="1:2" ht="13">
      <c r="A635" s="101" t="str">
        <f ca="1">IFERROR(__xludf.DUMMYFUNCTION("""COMPUTED_VALUE"""),"Основное мероприятие ""Предоставление государственных гарантий инвалидам""")</f>
        <v>Основное мероприятие "Предоставление государственных гарантий инвалидам"</v>
      </c>
      <c r="B635" s="101" t="str">
        <f ca="1">IFERROR(__xludf.DUMMYFUNCTION("""COMPUTED_VALUE"""),"индикатор")</f>
        <v>индикатор</v>
      </c>
    </row>
    <row r="636" spans="1:2" ht="13">
      <c r="A636" s="101" t="str">
        <f ca="1">IFERROR(__xludf.DUMMYFUNCTION("""COMPUTED_VALUE"""),"Основное мероприятие ""Повышение квалификации специалистов в сфере реабилитации и абилитации инвалидов""")</f>
        <v>Основное мероприятие "Повышение квалификации специалистов в сфере реабилитации и абилитации инвалидов"</v>
      </c>
      <c r="B636" s="101" t="str">
        <f ca="1">IFERROR(__xludf.DUMMYFUNCTION("""COMPUTED_VALUE"""),"индикатор")</f>
        <v>индикатор</v>
      </c>
    </row>
    <row r="637" spans="1:2" ht="13">
      <c r="A637" s="101" t="str">
        <f ca="1">IFERROR(__xludf.DUMMYFUNCTION("""COMPUTED_VALUE"""),"Основное мероприятие ""Оказание государственной поддержки общественным организациям инвалидов и иным некоммерческим организациям""")</f>
        <v>Основное мероприятие "Оказание государственной поддержки общественным организациям инвалидов и иным некоммерческим организациям"</v>
      </c>
      <c r="B637" s="101" t="str">
        <f ca="1">IFERROR(__xludf.DUMMYFUNCTION("""COMPUTED_VALUE"""),"индикатор")</f>
        <v>индикатор</v>
      </c>
    </row>
    <row r="638" spans="1:2" ht="13">
      <c r="A638" s="101" t="str">
        <f ca="1">IFERROR(__xludf.DUMMYFUNCTION("""COMPUTED_VALUE"""),"Основное мероприятие ""Содействие реализации мероприятий субъектов Российской Федерации в сфере реабилитации и абилитации инвалидов""")</f>
        <v>Основное мероприятие "Содействие реализации мероприятий субъектов Российской Федерации в сфере реабилитации и абилитации инвалидов"</v>
      </c>
      <c r="B638" s="101" t="str">
        <f ca="1">IFERROR(__xludf.DUMMYFUNCTION("""COMPUTED_VALUE"""),"индикатор")</f>
        <v>индикатор</v>
      </c>
    </row>
    <row r="639" spans="1:2" ht="13">
      <c r="A639" s="101" t="str">
        <f ca="1">IFERROR(__xludf.DUMMYFUNCTION("""COMPUTED_VALUE"""),"Основное мероприятие ""Совершенствование организации и проведения медико-социальной экспертизы""")</f>
        <v>Основное мероприятие "Совершенствование организации и проведения медико-социальной экспертизы"</v>
      </c>
      <c r="B639" s="101" t="str">
        <f ca="1">IFERROR(__xludf.DUMMYFUNCTION("""COMPUTED_VALUE"""),"индикатор")</f>
        <v>индикатор</v>
      </c>
    </row>
    <row r="640" spans="1:2" ht="13">
      <c r="A640" s="101" t="str">
        <f ca="1">IFERROR(__xludf.DUMMYFUNCTION("""COMPUTED_VALUE"""),"Основное мероприятие ""Повышение квалификации специалистов учреждений медико-социальной экспертизы""")</f>
        <v>Основное мероприятие "Повышение квалификации специалистов учреждений медико-социальной экспертизы"</v>
      </c>
      <c r="B640" s="101" t="str">
        <f ca="1">IFERROR(__xludf.DUMMYFUNCTION("""COMPUTED_VALUE"""),"индикатор")</f>
        <v>индикатор</v>
      </c>
    </row>
    <row r="641" spans="1:2" ht="13">
      <c r="A641" s="101" t="str">
        <f ca="1">IFERROR(__xludf.DUMMYFUNCTION("""COMPUTED_VALUE"""),"Основное мероприятие ""Обеспечение деятельности учреждений медико-социальной экспертизы""")</f>
        <v>Основное мероприятие "Обеспечение деятельности учреждений медико-социальной экспертизы"</v>
      </c>
      <c r="B641" s="101" t="str">
        <f ca="1">IFERROR(__xludf.DUMMYFUNCTION("""COMPUTED_VALUE"""),"индикатор")</f>
        <v>индикатор</v>
      </c>
    </row>
    <row r="642" spans="1:2" ht="13">
      <c r="A642" s="101" t="str">
        <f ca="1">IFERROR(__xludf.DUMMYFUNCTION("""COMPUTED_VALUE"""),"Ведомственная целевая программа ""Оказание государственной поддержки гражданам в обеспечении жильем и оплате жилищно-коммунальных услуг""")</f>
        <v>Ведомственная целевая программа "Оказание государственной поддержки гражданам в обеспечении жильем и оплате жилищно-коммунальных услуг"</v>
      </c>
      <c r="B642" s="101" t="str">
        <f ca="1">IFERROR(__xludf.DUMMYFUNCTION("""COMPUTED_VALUE"""),"индикатор")</f>
        <v>индикатор</v>
      </c>
    </row>
    <row r="643" spans="1:2" ht="13">
      <c r="A643" s="101" t="str">
        <f ca="1">IFERROR(__xludf.DUMMYFUNCTION("""COMPUTED_VALUE"""),"Ведомственная целевая программа ""Поддержка модернизации коммунальной и инженерной инфраструктуры субъектов Российской Федерации (муниципальных образований)""")</f>
        <v>Ведомственная целевая программа "Поддержка модернизации коммунальной и инженерной инфраструктуры субъектов Российской Федерации (муниципальных образований)"</v>
      </c>
      <c r="B643" s="101" t="str">
        <f ca="1">IFERROR(__xludf.DUMMYFUNCTION("""COMPUTED_VALUE"""),"индикатор")</f>
        <v>индикатор</v>
      </c>
    </row>
    <row r="644" spans="1:2" ht="13">
      <c r="A644" s="101" t="str">
        <f ca="1">IFERROR(__xludf.DUMMYFUNCTION("""COMPUTED_VALUE"""),"Основное мероприятие ""Обеспечение функций центрального аппарата Минстроя России""")</f>
        <v>Основное мероприятие "Обеспечение функций центрального аппарата Минстроя России"</v>
      </c>
      <c r="B644" s="101" t="str">
        <f ca="1">IFERROR(__xludf.DUMMYFUNCTION("""COMPUTED_VALUE"""),"индикатор")</f>
        <v>индикатор</v>
      </c>
    </row>
    <row r="645" spans="1:2" ht="13">
      <c r="A645" s="101" t="str">
        <f ca="1">IFERROR(__xludf.DUMMYFUNCTION("""COMPUTED_VALUE"""),"Основное мероприятие ""Обеспечение устойчивого развития жилищного сектора и инфраструктуры населенных пунктов (Программа ООН ""ХАБИТАТ"")""")</f>
        <v>Основное мероприятие "Обеспечение устойчивого развития жилищного сектора и инфраструктуры населенных пунктов (Программа ООН "ХАБИТАТ")"</v>
      </c>
      <c r="B645" s="101" t="str">
        <f ca="1">IFERROR(__xludf.DUMMYFUNCTION("""COMPUTED_VALUE"""),"индикатор")</f>
        <v>индикатор</v>
      </c>
    </row>
    <row r="646" spans="1:2" ht="13">
      <c r="A646" s="101" t="str">
        <f ca="1">IFERROR(__xludf.DUMMYFUNCTION("""COMPUTED_VALUE"""),"Основное мероприятие ""Обеспечение государственных функций по текущему управлению реализацией государственной программы""")</f>
        <v>Основное мероприятие "Обеспечение государственных функций по текущему управлению реализацией государственной программы"</v>
      </c>
      <c r="B646" s="101" t="str">
        <f ca="1">IFERROR(__xludf.DUMMYFUNCTION("""COMPUTED_VALUE"""),"индикатор")</f>
        <v>индикатор</v>
      </c>
    </row>
    <row r="647" spans="1:2" ht="13">
      <c r="A647" s="101" t="str">
        <f ca="1">IFERROR(__xludf.DUMMYFUNCTION("""COMPUTED_VALUE"""),"Ведомственная целевая программа ""Создание условий для реализации государственной политики в сферах строительства, жилищного обеспечения и жилищно-коммунального хозяйства""")</f>
        <v>Ведомственная целевая программа "Создание условий для реализации государственной политики в сферах строительства, жилищного обеспечения и жилищно-коммунального хозяйства"</v>
      </c>
      <c r="B647" s="101" t="str">
        <f ca="1">IFERROR(__xludf.DUMMYFUNCTION("""COMPUTED_VALUE"""),"индикатор")</f>
        <v>индикатор</v>
      </c>
    </row>
    <row r="648" spans="1:2" ht="13">
      <c r="A648" s="101" t="str">
        <f ca="1">IFERROR(__xludf.DUMMYFUNCTION("""COMPUTED_VALUE"""),"Основное мероприятие ""Реализация мероприятий активной политики занятости населения, включая мероприятия по развитию трудовой мобильности""")</f>
        <v>Основное мероприятие "Реализация мероприятий активной политики занятости населения, включая мероприятия по развитию трудовой мобильности"</v>
      </c>
      <c r="B648" s="101" t="str">
        <f ca="1">IFERROR(__xludf.DUMMYFUNCTION("""COMPUTED_VALUE"""),"индикатор")</f>
        <v>индикатор</v>
      </c>
    </row>
    <row r="649" spans="1:2" ht="13">
      <c r="A649" s="101" t="str">
        <f ca="1">IFERROR(__xludf.DUMMYFUNCTION("""COMPUTED_VALUE"""),"Основное мероприятие ""Мониторинг состояния рынка труда""")</f>
        <v>Основное мероприятие "Мониторинг состояния рынка труда"</v>
      </c>
      <c r="B649" s="101" t="str">
        <f ca="1">IFERROR(__xludf.DUMMYFUNCTION("""COMPUTED_VALUE"""),"индикатор")</f>
        <v>индикатор</v>
      </c>
    </row>
    <row r="650" spans="1:2" ht="13">
      <c r="A650" s="101" t="str">
        <f ca="1">IFERROR(__xludf.DUMMYFUNCTION("""COMPUTED_VALUE"""),"Основное мероприятие ""Социальные выплаты безработным гражданам и оптимизация критериев назначения и размеров пособия по безработице""")</f>
        <v>Основное мероприятие "Социальные выплаты безработным гражданам и оптимизация критериев назначения и размеров пособия по безработице"</v>
      </c>
      <c r="B650" s="101" t="str">
        <f ca="1">IFERROR(__xludf.DUMMYFUNCTION("""COMPUTED_VALUE"""),"индикатор")</f>
        <v>индикатор</v>
      </c>
    </row>
    <row r="651" spans="1:2" ht="13">
      <c r="A651" s="101" t="str">
        <f ca="1">IFERROR(__xludf.DUMMYFUNCTION("""COMPUTED_VALUE"""),"Основное мероприятие ""Создание условий для улучшения качества рабочей силы и развития ее профессиональной мобильности""")</f>
        <v>Основное мероприятие "Создание условий для улучшения качества рабочей силы и развития ее профессиональной мобильности"</v>
      </c>
      <c r="B651" s="101" t="str">
        <f ca="1">IFERROR(__xludf.DUMMYFUNCTION("""COMPUTED_VALUE"""),"индикатор")</f>
        <v>индикатор</v>
      </c>
    </row>
    <row r="652" spans="1:2" ht="13">
      <c r="A652" s="101" t="str">
        <f ca="1">IFERROR(__xludf.DUMMYFUNCTION("""COMPUTED_VALUE"""),"Основное мероприятие ""Развитие социального партнерства""")</f>
        <v>Основное мероприятие "Развитие социального партнерства"</v>
      </c>
      <c r="B652" s="101" t="str">
        <f ca="1">IFERROR(__xludf.DUMMYFUNCTION("""COMPUTED_VALUE"""),"индикатор")</f>
        <v>индикатор</v>
      </c>
    </row>
    <row r="653" spans="1:2" ht="13">
      <c r="A653" s="101" t="str">
        <f ca="1">IFERROR(__xludf.DUMMYFUNCTION("""COMPUTED_VALUE"""),"Основное мероприятие ""Надзор и контроль в сфере труда и занятости""")</f>
        <v>Основное мероприятие "Надзор и контроль в сфере труда и занятости"</v>
      </c>
      <c r="B653" s="101" t="str">
        <f ca="1">IFERROR(__xludf.DUMMYFUNCTION("""COMPUTED_VALUE"""),"индикатор")</f>
        <v>индикатор</v>
      </c>
    </row>
    <row r="654" spans="1:2" ht="13">
      <c r="A654" s="101" t="str">
        <f ca="1">IFERROR(__xludf.DUMMYFUNCTION("""COMPUTED_VALUE"""),"Основное мероприятие ""Разработка и внедрение предупредительной модели управления охраной труда""")</f>
        <v>Основное мероприятие "Разработка и внедрение предупредительной модели управления охраной труда"</v>
      </c>
      <c r="B654" s="101" t="str">
        <f ca="1">IFERROR(__xludf.DUMMYFUNCTION("""COMPUTED_VALUE"""),"индикатор")</f>
        <v>индикатор</v>
      </c>
    </row>
    <row r="655" spans="1:2" ht="13">
      <c r="A655" s="101" t="str">
        <f ca="1">IFERROR(__xludf.DUMMYFUNCTION("""COMPUTED_VALUE"""),"Основное мероприятие ""Модернизация инструментов государственного управления охраной труда""")</f>
        <v>Основное мероприятие "Модернизация инструментов государственного управления охраной труда"</v>
      </c>
      <c r="B655" s="101" t="str">
        <f ca="1">IFERROR(__xludf.DUMMYFUNCTION("""COMPUTED_VALUE"""),"индикатор")</f>
        <v>индикатор</v>
      </c>
    </row>
    <row r="656" spans="1:2" ht="13">
      <c r="A656" s="101" t="str">
        <f ca="1">IFERROR(__xludf.DUMMYFUNCTION("""COMPUTED_VALUE"""),"Основное мероприятие ""Тыловое обеспечение""")</f>
        <v>Основное мероприятие "Тыловое обеспечение"</v>
      </c>
      <c r="B656" s="101" t="str">
        <f ca="1">IFERROR(__xludf.DUMMYFUNCTION("""COMPUTED_VALUE"""),"индикатор")</f>
        <v>индикатор</v>
      </c>
    </row>
    <row r="657" spans="1:2" ht="13">
      <c r="A657" s="101" t="str">
        <f ca="1">IFERROR(__xludf.DUMMYFUNCTION("""COMPUTED_VALUE"""),"Основное мероприятие ""Медицинское обеспечение""")</f>
        <v>Основное мероприятие "Медицинское обеспечение"</v>
      </c>
      <c r="B657" s="101" t="str">
        <f ca="1">IFERROR(__xludf.DUMMYFUNCTION("""COMPUTED_VALUE"""),"индикатор")</f>
        <v>индикатор</v>
      </c>
    </row>
    <row r="658" spans="1:2" ht="13">
      <c r="A658" s="101" t="str">
        <f ca="1">IFERROR(__xludf.DUMMYFUNCTION("""COMPUTED_VALUE"""),"Основное мероприятие ""Жилищное обеспечение""")</f>
        <v>Основное мероприятие "Жилищное обеспечение"</v>
      </c>
      <c r="B658" s="101" t="str">
        <f ca="1">IFERROR(__xludf.DUMMYFUNCTION("""COMPUTED_VALUE"""),"индикатор")</f>
        <v>индикатор</v>
      </c>
    </row>
    <row r="659" spans="1:2" ht="13">
      <c r="A659" s="101" t="str">
        <f ca="1">IFERROR(__xludf.DUMMYFUNCTION("""COMPUTED_VALUE"""),"Основное мероприятие ""Обеспечение подготовки кадров для органов внутренних дел Российской Федерации""")</f>
        <v>Основное мероприятие "Обеспечение подготовки кадров для органов внутренних дел Российской Федерации"</v>
      </c>
      <c r="B659" s="101" t="str">
        <f ca="1">IFERROR(__xludf.DUMMYFUNCTION("""COMPUTED_VALUE"""),"индикатор")</f>
        <v>индикатор</v>
      </c>
    </row>
    <row r="660" spans="1:2" ht="13">
      <c r="A660" s="101" t="str">
        <f ca="1">IFERROR(__xludf.DUMMYFUNCTION("""COMPUTED_VALUE"""),"Основное мероприятие ""Обеспечение проведения экспертных исследований ДНК подразделениями органов внутренних дел Российской Федерации""")</f>
        <v>Основное мероприятие "Обеспечение проведения экспертных исследований ДНК подразделениями органов внутренних дел Российской Федерации"</v>
      </c>
      <c r="B660" s="101" t="str">
        <f ca="1">IFERROR(__xludf.DUMMYFUNCTION("""COMPUTED_VALUE"""),"индикатор")</f>
        <v>индикатор</v>
      </c>
    </row>
    <row r="661" spans="1:2" ht="13">
      <c r="A661" s="101" t="str">
        <f ca="1">IFERROR(__xludf.DUMMYFUNCTION("""COMPUTED_VALUE"""),"Основное мероприятие ""Предварительное следствие""")</f>
        <v>Основное мероприятие "Предварительное следствие"</v>
      </c>
      <c r="B661" s="101" t="str">
        <f ca="1">IFERROR(__xludf.DUMMYFUNCTION("""COMPUTED_VALUE"""),"индикатор")</f>
        <v>индикатор</v>
      </c>
    </row>
    <row r="662" spans="1:2" ht="13">
      <c r="A662" s="101" t="str">
        <f ca="1">IFERROR(__xludf.DUMMYFUNCTION("""COMPUTED_VALUE"""),"Основное мероприятие ""Оперативно-служебная деятельность органов внутренних дел Российской Федерации""")</f>
        <v>Основное мероприятие "Оперативно-служебная деятельность органов внутренних дел Российской Федерации"</v>
      </c>
      <c r="B662" s="101" t="str">
        <f ca="1">IFERROR(__xludf.DUMMYFUNCTION("""COMPUTED_VALUE"""),"индикатор")</f>
        <v>индикатор</v>
      </c>
    </row>
    <row r="663" spans="1:2" ht="13">
      <c r="A663" s="101" t="str">
        <f ca="1">IFERROR(__xludf.DUMMYFUNCTION("""COMPUTED_VALUE"""),"Основное мероприятие ""Управление органами внутренних дел Российской Федерации и организация деятельности системы МВД России""")</f>
        <v>Основное мероприятие "Управление органами внутренних дел Российской Федерации и организация деятельности системы МВД России"</v>
      </c>
      <c r="B663" s="101" t="str">
        <f ca="1">IFERROR(__xludf.DUMMYFUNCTION("""COMPUTED_VALUE"""),"индикатор")</f>
        <v>индикатор</v>
      </c>
    </row>
    <row r="664" spans="1:2" ht="13">
      <c r="A664" s="101" t="str">
        <f ca="1">IFERROR(__xludf.DUMMYFUNCTION("""COMPUTED_VALUE"""),"Основное мероприятие ""Реализация Государственной программы ""Обеспечение безопасности потерпевших, свидетелей и иных участников уголовного судопроизводства""")</f>
        <v>Основное мероприятие "Реализация Государственной программы "Обеспечение безопасности потерпевших, свидетелей и иных участников уголовного судопроизводства"</v>
      </c>
      <c r="B664" s="101" t="str">
        <f ca="1">IFERROR(__xludf.DUMMYFUNCTION("""COMPUTED_VALUE"""),"индикатор")</f>
        <v>индикатор</v>
      </c>
    </row>
    <row r="665" spans="1:2" ht="13">
      <c r="A665" s="101" t="str">
        <f ca="1">IFERROR(__xludf.DUMMYFUNCTION("""COMPUTED_VALUE"""),"Основное мероприятие ""Реализация Государственной программы по оказанию содействия добровольному переселению в Российскую Федерацию соотечественников, проживающих за рубежом""")</f>
        <v>Основное мероприятие "Реализация Государственной программы по оказанию содействия добровольному переселению в Российскую Федерацию соотечественников, проживающих за рубежом"</v>
      </c>
      <c r="B665" s="101" t="str">
        <f ca="1">IFERROR(__xludf.DUMMYFUNCTION("""COMPUTED_VALUE"""),"индикатор")</f>
        <v>индикатор</v>
      </c>
    </row>
    <row r="666" spans="1:2" ht="13">
      <c r="A666" s="101" t="str">
        <f ca="1">IFERROR(__xludf.DUMMYFUNCTION("""COMPUTED_VALUE"""),"Основное мероприятие ""Подготовка и реализация неотложных и внеплановых мероприятий по предупреждению и ликвидации чрезвычайных ситуаций""")</f>
        <v>Основное мероприятие "Подготовка и реализация неотложных и внеплановых мероприятий по предупреждению и ликвидации чрезвычайных ситуаций"</v>
      </c>
      <c r="B666" s="101" t="str">
        <f ca="1">IFERROR(__xludf.DUMMYFUNCTION("""COMPUTED_VALUE"""),"индикатор")</f>
        <v>индикатор</v>
      </c>
    </row>
    <row r="667" spans="1:2" ht="13">
      <c r="A667" s="101" t="str">
        <f ca="1">IFERROR(__xludf.DUMMYFUNCTION("""COMPUTED_VALUE"""),"Основное мероприятие ""Обеспечение повседневного функционирования подразделений МЧС России""")</f>
        <v>Основное мероприятие "Обеспечение повседневного функционирования подразделений МЧС России"</v>
      </c>
      <c r="B667" s="101" t="str">
        <f ca="1">IFERROR(__xludf.DUMMYFUNCTION("""COMPUTED_VALUE"""),"индикатор")</f>
        <v>индикатор</v>
      </c>
    </row>
    <row r="668" spans="1:2" ht="13">
      <c r="A668" s="101" t="str">
        <f ca="1">IFERROR(__xludf.DUMMYFUNCTION("""COMPUTED_VALUE"""),"Основное мероприятие ""Оснащение подразделений МЧС России современными образцами техники и оборудования в рамках государственного оборонного заказа""")</f>
        <v>Основное мероприятие "Оснащение подразделений МЧС России современными образцами техники и оборудования в рамках государственного оборонного заказа"</v>
      </c>
      <c r="B668" s="101" t="str">
        <f ca="1">IFERROR(__xludf.DUMMYFUNCTION("""COMPUTED_VALUE"""),"индикатор")</f>
        <v>индикатор</v>
      </c>
    </row>
    <row r="669" spans="1:2" ht="13">
      <c r="A669" s="101" t="str">
        <f ca="1">IFERROR(__xludf.DUMMYFUNCTION("""COMPUTED_VALUE"""),"Основное мероприятие ""Развитие инфраструктуры МЧС России""")</f>
        <v>Основное мероприятие "Развитие инфраструктуры МЧС России"</v>
      </c>
      <c r="B669" s="101" t="str">
        <f ca="1">IFERROR(__xludf.DUMMYFUNCTION("""COMPUTED_VALUE"""),"индикатор")</f>
        <v>индикатор</v>
      </c>
    </row>
    <row r="670" spans="1:2" ht="13">
      <c r="A670" s="101" t="str">
        <f ca="1">IFERROR(__xludf.DUMMYFUNCTION("""COMPUTED_VALUE"""),"Основное мероприятие ""Содействие деятельности некоммерческих организаций, осуществляющих деятельность в области защиты населения и территорий""")</f>
        <v>Основное мероприятие "Содействие деятельности некоммерческих организаций, осуществляющих деятельность в области защиты населения и территорий"</v>
      </c>
      <c r="B670" s="101" t="str">
        <f ca="1">IFERROR(__xludf.DUMMYFUNCTION("""COMPUTED_VALUE"""),"индикатор")</f>
        <v>индикатор</v>
      </c>
    </row>
    <row r="671" spans="1:2" ht="13">
      <c r="A671" s="101" t="str">
        <f ca="1">IFERROR(__xludf.DUMMYFUNCTION("""COMPUTED_VALUE"""),"Основное мероприятие ""Снижение рисков и смягчение последствий чрезвычайных ситуаций природного и техногенного характера""")</f>
        <v>Основное мероприятие "Снижение рисков и смягчение последствий чрезвычайных ситуаций природного и техногенного характера"</v>
      </c>
      <c r="B671" s="101" t="str">
        <f ca="1">IFERROR(__xludf.DUMMYFUNCTION("""COMPUTED_VALUE"""),"индикатор")</f>
        <v>индикатор</v>
      </c>
    </row>
    <row r="672" spans="1:2" ht="13">
      <c r="A672" s="101" t="str">
        <f ca="1">IFERROR(__xludf.DUMMYFUNCTION("""COMPUTED_VALUE"""),"Основное мероприятие ""Преодоление последствий радиационных аварий""")</f>
        <v>Основное мероприятие "Преодоление последствий радиационных аварий"</v>
      </c>
      <c r="B672" s="101" t="str">
        <f ca="1">IFERROR(__xludf.DUMMYFUNCTION("""COMPUTED_VALUE"""),"индикатор")</f>
        <v>индикатор</v>
      </c>
    </row>
    <row r="673" spans="1:2" ht="13">
      <c r="A673" s="101" t="str">
        <f ca="1">IFERROR(__xludf.DUMMYFUNCTION("""COMPUTED_VALUE"""),"Основное мероприятие ""Обеспечение повседневного функционирования подразделений центрального аппарата и территориальных подразделений МЧС России""")</f>
        <v>Основное мероприятие "Обеспечение повседневного функционирования подразделений центрального аппарата и территориальных подразделений МЧС России"</v>
      </c>
      <c r="B673" s="101" t="str">
        <f ca="1">IFERROR(__xludf.DUMMYFUNCTION("""COMPUTED_VALUE"""),"индикатор")</f>
        <v>индикатор</v>
      </c>
    </row>
    <row r="674" spans="1:2" ht="13">
      <c r="A674" s="101" t="str">
        <f ca="1">IFERROR(__xludf.DUMMYFUNCTION("""COMPUTED_VALUE"""),"Основное мероприятие ""Научное обеспечение деятельности МЧС России""")</f>
        <v>Основное мероприятие "Научное обеспечение деятельности МЧС России"</v>
      </c>
      <c r="B674" s="101" t="str">
        <f ca="1">IFERROR(__xludf.DUMMYFUNCTION("""COMPUTED_VALUE"""),"индикатор")</f>
        <v>индикатор</v>
      </c>
    </row>
    <row r="675" spans="1:2" ht="13">
      <c r="A675" s="101" t="str">
        <f ca="1">IFERROR(__xludf.DUMMYFUNCTION("""COMPUTED_VALUE"""),"Основное мероприятие ""Обеспечение жильем кадрового состава МЧС России""")</f>
        <v>Основное мероприятие "Обеспечение жильем кадрового состава МЧС России"</v>
      </c>
      <c r="B675" s="101" t="str">
        <f ca="1">IFERROR(__xludf.DUMMYFUNCTION("""COMPUTED_VALUE"""),"индикатор")</f>
        <v>индикатор</v>
      </c>
    </row>
    <row r="676" spans="1:2" ht="13">
      <c r="A676" s="101" t="str">
        <f ca="1">IFERROR(__xludf.DUMMYFUNCTION("""COMPUTED_VALUE"""),"Основное мероприятие ""Финансовое обеспечение реализации программ высшего профессионального образования в области защиты населения и территорий""")</f>
        <v>Основное мероприятие "Финансовое обеспечение реализации программ высшего профессионального образования в области защиты населения и территорий"</v>
      </c>
      <c r="B676" s="101" t="str">
        <f ca="1">IFERROR(__xludf.DUMMYFUNCTION("""COMPUTED_VALUE"""),"индикатор")</f>
        <v>индикатор</v>
      </c>
    </row>
    <row r="677" spans="1:2" ht="13">
      <c r="A677" s="101" t="str">
        <f ca="1">IFERROR(__xludf.DUMMYFUNCTION("""COMPUTED_VALUE"""),"Основное мероприятие ""Обеспечение международного сотрудничества в установленной сфере деятельности МЧС России""")</f>
        <v>Основное мероприятие "Обеспечение международного сотрудничества в установленной сфере деятельности МЧС России"</v>
      </c>
      <c r="B677" s="101" t="str">
        <f ca="1">IFERROR(__xludf.DUMMYFUNCTION("""COMPUTED_VALUE"""),"индикатор")</f>
        <v>индикатор</v>
      </c>
    </row>
    <row r="678" spans="1:2" ht="13">
      <c r="A678" s="101" t="str">
        <f ca="1">IFERROR(__xludf.DUMMYFUNCTION("""COMPUTED_VALUE"""),"Основное мероприятие ""Финансовое обеспечение оказания медицинской, санаторно-курортной и реабилитационной помощи кадровому составу МЧС России, а также гражданам, подвергшимся радиационному воздействию""")</f>
        <v>Основное мероприятие "Финансовое обеспечение оказания медицинской, санаторно-курортной и реабилитационной помощи кадровому составу МЧС России, а также гражданам, подвергшимся радиационному воздействию"</v>
      </c>
      <c r="B678" s="101" t="str">
        <f ca="1">IFERROR(__xludf.DUMMYFUNCTION("""COMPUTED_VALUE"""),"индикатор")</f>
        <v>индикатор</v>
      </c>
    </row>
    <row r="679" spans="1:2" ht="13">
      <c r="A679" s="101" t="str">
        <f ca="1">IFERROR(__xludf.DUMMYFUNCTION("""COMPUTED_VALUE"""),"Основное мероприятие ""Развитие национальной системы химической и биологической безопасности Российской Федерации""")</f>
        <v>Основное мероприятие "Развитие национальной системы химической и биологической безопасности Российской Федерации"</v>
      </c>
      <c r="B679" s="101" t="str">
        <f ca="1">IFERROR(__xludf.DUMMYFUNCTION("""COMPUTED_VALUE"""),"индикатор")</f>
        <v>индикатор</v>
      </c>
    </row>
    <row r="680" spans="1:2" ht="13">
      <c r="A680" s="101" t="str">
        <f ca="1">IFERROR(__xludf.DUMMYFUNCTION("""COMPUTED_VALUE"""),"Основное мероприятие ""Обеспечение проведения технологического надзора и федерального государственного надзора в области использования атомной энергии""")</f>
        <v>Основное мероприятие "Обеспечение проведения технологического надзора и федерального государственного надзора в области использования атомной энергии"</v>
      </c>
      <c r="B680" s="101" t="str">
        <f ca="1">IFERROR(__xludf.DUMMYFUNCTION("""COMPUTED_VALUE"""),"индикатор")</f>
        <v>индикатор</v>
      </c>
    </row>
    <row r="681" spans="1:2" ht="13">
      <c r="A681" s="101" t="str">
        <f ca="1">IFERROR(__xludf.DUMMYFUNCTION("""COMPUTED_VALUE"""),"Основное мероприятие ""Осуществление международного сотрудничества в установленной сфере деятельности,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мирных"&amp;" целях""")</f>
        <v>Основное мероприятие "Осуществление международного сотрудничества в установленной сфере деятельности,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v>
      </c>
      <c r="B681" s="101" t="str">
        <f ca="1">IFERROR(__xludf.DUMMYFUNCTION("""COMPUTED_VALUE"""),"индикатор")</f>
        <v>индикатор</v>
      </c>
    </row>
    <row r="682" spans="1:2" ht="13">
      <c r="A682" s="101" t="str">
        <f ca="1">IFERROR(__xludf.DUMMYFUNCTION("""COMPUTED_VALUE"""),"Основное мероприятие ""Обеспечение реализации подпрограммы""")</f>
        <v>Основное мероприятие "Обеспечение реализации подпрограммы"</v>
      </c>
      <c r="B682" s="101" t="str">
        <f ca="1">IFERROR(__xludf.DUMMYFUNCTION("""COMPUTED_VALUE"""),"индикатор")</f>
        <v>индикатор</v>
      </c>
    </row>
    <row r="683" spans="1:2" ht="13">
      <c r="A683" s="101" t="str">
        <f ca="1">IFERROR(__xludf.DUMMYFUNCTION("""COMPUTED_VALUE"""),"Федеральная целевая программа ""Национальная система химической и биологической безопасности Российской Федерации (2015 - 2020 годы)""")</f>
        <v>Федеральная целевая программа "Национальная система химической и биологической безопасности Российской Федерации (2015 - 2020 годы)"</v>
      </c>
      <c r="B683" s="101" t="str">
        <f ca="1">IFERROR(__xludf.DUMMYFUNCTION("""COMPUTED_VALUE"""),"индикатор")</f>
        <v>индикатор</v>
      </c>
    </row>
    <row r="684" spans="1:2" ht="13">
      <c r="A684" s="101" t="str">
        <f ca="1">IFERROR(__xludf.DUMMYFUNCTION("""COMPUTED_VALUE"""),"Основное мероприятие ""Научное и техническое, нормативно-правовое и организационно-методическое обеспечение реализации мероприятий по построению и развитию аппаратно-программного комплекса ""Безопасный город""")</f>
        <v>Основное мероприятие "Научное и техническое, нормативно-правовое и организационно-методическое обеспечение реализации мероприятий по построению и развитию аппаратно-программного комплекса "Безопасный город"</v>
      </c>
      <c r="B684" s="101" t="str">
        <f ca="1">IFERROR(__xludf.DUMMYFUNCTION("""COMPUTED_VALUE"""),"индикатор")</f>
        <v>индикатор</v>
      </c>
    </row>
    <row r="685" spans="1:2" ht="13">
      <c r="A685" s="101" t="str">
        <f ca="1">IFERROR(__xludf.DUMMYFUNCTION("""COMPUTED_VALUE"""),"Основное мероприятие ""Сохранение, использование, популяризация исторического и культурного наследия""")</f>
        <v>Основное мероприятие "Сохранение, использование, популяризация исторического и культурного наследия"</v>
      </c>
      <c r="B685" s="101" t="str">
        <f ca="1">IFERROR(__xludf.DUMMYFUNCTION("""COMPUTED_VALUE"""),"индикатор")</f>
        <v>индикатор</v>
      </c>
    </row>
    <row r="686" spans="1:2" ht="13">
      <c r="A686" s="101" t="str">
        <f ca="1">IFERROR(__xludf.DUMMYFUNCTION("""COMPUTED_VALUE"""),"Основное мероприятие ""Развитие библиотечного дела""")</f>
        <v>Основное мероприятие "Развитие библиотечного дела"</v>
      </c>
      <c r="B686" s="101" t="str">
        <f ca="1">IFERROR(__xludf.DUMMYFUNCTION("""COMPUTED_VALUE"""),"индикатор")</f>
        <v>индикатор</v>
      </c>
    </row>
    <row r="687" spans="1:2" ht="13">
      <c r="A687" s="101" t="str">
        <f ca="1">IFERROR(__xludf.DUMMYFUNCTION("""COMPUTED_VALUE"""),"Основное мероприятие ""Развитие музейного дела""")</f>
        <v>Основное мероприятие "Развитие музейного дела"</v>
      </c>
      <c r="B687" s="101" t="str">
        <f ca="1">IFERROR(__xludf.DUMMYFUNCTION("""COMPUTED_VALUE"""),"индикатор")</f>
        <v>индикатор</v>
      </c>
    </row>
    <row r="688" spans="1:2" ht="13">
      <c r="A688" s="101" t="str">
        <f ca="1">IFERROR(__xludf.DUMMYFUNCTION("""COMPUTED_VALUE"""),"Основное мероприятие ""Сохранение и развитие исполнительских искусств""")</f>
        <v>Основное мероприятие "Сохранение и развитие исполнительских искусств"</v>
      </c>
      <c r="B688" s="101" t="str">
        <f ca="1">IFERROR(__xludf.DUMMYFUNCTION("""COMPUTED_VALUE"""),"индикатор")</f>
        <v>индикатор</v>
      </c>
    </row>
    <row r="689" spans="1:2" ht="13">
      <c r="A689" s="101" t="str">
        <f ca="1">IFERROR(__xludf.DUMMYFUNCTION("""COMPUTED_VALUE"""),"Основное мероприятие ""Сохранение и развитие кинематографии""")</f>
        <v>Основное мероприятие "Сохранение и развитие кинематографии"</v>
      </c>
      <c r="B689" s="101" t="str">
        <f ca="1">IFERROR(__xludf.DUMMYFUNCTION("""COMPUTED_VALUE"""),"индикатор")</f>
        <v>индикатор</v>
      </c>
    </row>
    <row r="690" spans="1:2" ht="13">
      <c r="A690" s="101" t="str">
        <f ca="1">IFERROR(__xludf.DUMMYFUNCTION("""COMPUTED_VALUE"""),"Основное мероприятие ""Поддержка творческих инициатив населения, а также выдающихся деятелей, организаций в сфере культуры, творческих союзов""")</f>
        <v>Основное мероприятие "Поддержка творческих инициатив населения, а также выдающихся деятелей, организаций в сфере культуры, творческих союзов"</v>
      </c>
      <c r="B690" s="101" t="str">
        <f ca="1">IFERROR(__xludf.DUMMYFUNCTION("""COMPUTED_VALUE"""),"индикатор")</f>
        <v>индикатор</v>
      </c>
    </row>
    <row r="691" spans="1:2" ht="13">
      <c r="A691" s="101" t="str">
        <f ca="1">IFERROR(__xludf.DUMMYFUNCTION("""COMPUTED_VALUE"""),"Основное мероприятие ""Организация и проведение мероприятий, а также работ по строительству, реконструкции, реставрации, посвященных значимым событиям российской культуры""")</f>
        <v>Основное мероприятие "Организация и проведение мероприятий, а также работ по строительству, реконструкции, реставрации, посвященных значимым событиям российской культуры"</v>
      </c>
      <c r="B691" s="101" t="str">
        <f ca="1">IFERROR(__xludf.DUMMYFUNCTION("""COMPUTED_VALUE"""),"индикатор")</f>
        <v>индикатор</v>
      </c>
    </row>
    <row r="692" spans="1:2" ht="13">
      <c r="A692" s="101" t="str">
        <f ca="1">IFERROR(__xludf.DUMMYFUNCTION("""COMPUTED_VALUE"""),"Основное мероприятие ""Развитие инфраструктуры и системы управления в сфере культуры""")</f>
        <v>Основное мероприятие "Развитие инфраструктуры и системы управления в сфере культуры"</v>
      </c>
      <c r="B692" s="101" t="str">
        <f ca="1">IFERROR(__xludf.DUMMYFUNCTION("""COMPUTED_VALUE"""),"индикатор")</f>
        <v>индикатор</v>
      </c>
    </row>
    <row r="693" spans="1:2" ht="13">
      <c r="A693" s="101" t="str">
        <f ca="1">IFERROR(__xludf.DUMMYFUNCTION("""COMPUTED_VALUE"""),"Основное мероприятие ""Развитие фундаментальных и прикладных исследований в сфере культуры""")</f>
        <v>Основное мероприятие "Развитие фундаментальных и прикладных исследований в сфере культуры"</v>
      </c>
      <c r="B693" s="101" t="str">
        <f ca="1">IFERROR(__xludf.DUMMYFUNCTION("""COMPUTED_VALUE"""),"индикатор")</f>
        <v>индикатор</v>
      </c>
    </row>
    <row r="694" spans="1:2" ht="13">
      <c r="A694" s="101" t="str">
        <f ca="1">IFERROR(__xludf.DUMMYFUNCTION("""COMPUTED_VALUE"""),"Основное мероприятие ""Поддержка мероприятий субъектов Российской Федерации и муниципальных образований в сфере культуры""")</f>
        <v>Основное мероприятие "Поддержка мероприятий субъектов Российской Федерации и муниципальных образований в сфере культуры"</v>
      </c>
      <c r="B694" s="101" t="str">
        <f ca="1">IFERROR(__xludf.DUMMYFUNCTION("""COMPUTED_VALUE"""),"индикатор")</f>
        <v>индикатор</v>
      </c>
    </row>
    <row r="695" spans="1:2" ht="13">
      <c r="A695" s="101" t="str">
        <f ca="1">IFERROR(__xludf.DUMMYFUNCTION("""COMPUTED_VALUE"""),"Основное мероприятие ""Нормативно-правовое, методическое и информационно-аналитическое обеспечение регулирования в области охраны окружающей среды""")</f>
        <v>Основное мероприятие "Нормативно-правовое, методическое и информационно-аналитическое обеспечение регулирования в области охраны окружающей среды"</v>
      </c>
      <c r="B695" s="101" t="str">
        <f ca="1">IFERROR(__xludf.DUMMYFUNCTION("""COMPUTED_VALUE"""),"индикатор")</f>
        <v>индикатор</v>
      </c>
    </row>
    <row r="696" spans="1:2" ht="13">
      <c r="A696" s="101" t="str">
        <f ca="1">IFERROR(__xludf.DUMMYFUNCTION("""COMPUTED_VALUE"""),"Основное мероприятие ""Выполнение международных обязательств в области охраны окружающей среды""")</f>
        <v>Основное мероприятие "Выполнение международных обязательств в области охраны окружающей среды"</v>
      </c>
      <c r="B696" s="101" t="str">
        <f ca="1">IFERROR(__xludf.DUMMYFUNCTION("""COMPUTED_VALUE"""),"индикатор")</f>
        <v>индикатор</v>
      </c>
    </row>
    <row r="697" spans="1:2" ht="13">
      <c r="A697" s="101" t="str">
        <f ca="1">IFERROR(__xludf.DUMMYFUNCTION("""COMPUTED_VALUE"""),"Основное мероприятие ""Организация и проведение комплексного государственного экологического надзора, разрешительной и лицензионной деятельности в части ограничения негативного техногенного воздействия на окружающую среду и экологической экспертизы""")</f>
        <v>Основное мероприятие "Организация и проведение комплексного государственного экологического надзора, разрешительной и лицензионной деятельности в части ограничения негативного техногенного воздействия на окружающую среду и экологической экспертизы"</v>
      </c>
      <c r="B697" s="101" t="str">
        <f ca="1">IFERROR(__xludf.DUMMYFUNCTION("""COMPUTED_VALUE"""),"индикатор")</f>
        <v>индикатор</v>
      </c>
    </row>
    <row r="698" spans="1:2" ht="13">
      <c r="A698" s="101" t="str">
        <f ca="1">IFERROR(__xludf.DUMMYFUNCTION("""COMPUTED_VALUE"""),"Основное мероприятие ""Нормативно-правовое, методическое и информационно-аналитическое обеспечение деятельности в сфере сохранения и восстановления биологического разнообразия""")</f>
        <v>Основное мероприятие "Нормативно-правовое, методическое и информационно-аналитическое обеспечение деятельности в сфере сохранения и восстановления биологического разнообразия"</v>
      </c>
      <c r="B698" s="101" t="str">
        <f ca="1">IFERROR(__xludf.DUMMYFUNCTION("""COMPUTED_VALUE"""),"индикатор")</f>
        <v>индикатор</v>
      </c>
    </row>
    <row r="699" spans="1:2" ht="13">
      <c r="A699" s="101" t="str">
        <f ca="1">IFERROR(__xludf.DUMMYFUNCTION("""COMPUTED_VALUE"""),"Основное мероприятие ""Выполнение международных обязательств в сфере сохранения и восстановления биологического разнообразия""")</f>
        <v>Основное мероприятие "Выполнение международных обязательств в сфере сохранения и восстановления биологического разнообразия"</v>
      </c>
      <c r="B699" s="101" t="str">
        <f ca="1">IFERROR(__xludf.DUMMYFUNCTION("""COMPUTED_VALUE"""),"индикатор")</f>
        <v>индикатор</v>
      </c>
    </row>
    <row r="700" spans="1:2" ht="13">
      <c r="A700" s="101" t="str">
        <f ca="1">IFERROR(__xludf.DUMMYFUNCTION("""COMPUTED_VALUE"""),"Основное мероприятие ""Функционирование и развитие системы особо охраняемых природных территорий федерального значения, сохранение биоразнообразия и регулирование использования объектов животного мира""")</f>
        <v>Основное мероприятие "Функционирование и развитие системы особо охраняемых природных территорий федерального значения, сохранение биоразнообразия и регулирование использования объектов животного мира"</v>
      </c>
      <c r="B700" s="101" t="str">
        <f ca="1">IFERROR(__xludf.DUMMYFUNCTION("""COMPUTED_VALUE"""),"индикатор")</f>
        <v>индикатор</v>
      </c>
    </row>
    <row r="701" spans="1:2" ht="13">
      <c r="A701" s="101" t="str">
        <f ca="1">IFERROR(__xludf.DUMMYFUNCTION("""COMPUTED_VALUE"""),"Основное мероприятие ""Обеспечение функционирования и развития государственной наблюдательной сети, системы получения, сбора и распространения информации в области гидрометеорологии и смежных с ней областях""")</f>
        <v>Основное мероприятие "Обеспечение функционирования и развития государственной наблюдательной сети, системы получения, сбора и распространения информации в области гидрометеорологии и смежных с ней областях"</v>
      </c>
      <c r="B701" s="101" t="str">
        <f ca="1">IFERROR(__xludf.DUMMYFUNCTION("""COMPUTED_VALUE"""),"индикатор")</f>
        <v>индикатор</v>
      </c>
    </row>
    <row r="702" spans="1:2" ht="13">
      <c r="A702" s="101" t="str">
        <f ca="1">IFERROR(__xludf.DUMMYFUNCTION("""COMPUTED_VALUE"""),"Основное мероприятие ""Исследования и разработка методов и технологий в сфере гидрометеорологии и мониторинга окружающей среды""")</f>
        <v>Основное мероприятие "Исследования и разработка методов и технологий в сфере гидрометеорологии и мониторинга окружающей среды"</v>
      </c>
      <c r="B702" s="101" t="str">
        <f ca="1">IFERROR(__xludf.DUMMYFUNCTION("""COMPUTED_VALUE"""),"индикатор")</f>
        <v>индикатор</v>
      </c>
    </row>
    <row r="703" spans="1:2" ht="13">
      <c r="A703" s="101" t="str">
        <f ca="1">IFERROR(__xludf.DUMMYFUNCTION("""COMPUTED_VALUE"""),"Основное мероприятие ""Обеспечение выполнения государственных функций в сфере гидрометеорологии и мониторинга окружающей среды и смежных с ней областях""")</f>
        <v>Основное мероприятие "Обеспечение выполнения государственных функций в сфере гидрометеорологии и мониторинга окружающей среды и смежных с ней областях"</v>
      </c>
      <c r="B703" s="101" t="str">
        <f ca="1">IFERROR(__xludf.DUMMYFUNCTION("""COMPUTED_VALUE"""),"индикатор")</f>
        <v>индикатор</v>
      </c>
    </row>
    <row r="704" spans="1:2" ht="13">
      <c r="A704" s="101" t="str">
        <f ca="1">IFERROR(__xludf.DUMMYFUNCTION("""COMPUTED_VALUE"""),"Основное мероприятие ""Выполнение международных обязательств в сфере гидрометеорологии и мониторинга окружающей среды и иное международное сотрудничество""")</f>
        <v>Основное мероприятие "Выполнение международных обязательств в сфере гидрометеорологии и мониторинга окружающей среды и иное международное сотрудничество"</v>
      </c>
      <c r="B704" s="101" t="str">
        <f ca="1">IFERROR(__xludf.DUMMYFUNCTION("""COMPUTED_VALUE"""),"индикатор")</f>
        <v>индикатор</v>
      </c>
    </row>
    <row r="705" spans="1:2" ht="13">
      <c r="A705" s="101" t="str">
        <f ca="1">IFERROR(__xludf.DUMMYFUNCTION("""COMPUTED_VALUE"""),"Основное мероприятие ""Организация и проведение комплексных исследований и работ в Арктике и Антарктике""")</f>
        <v>Основное мероприятие "Организация и проведение комплексных исследований и работ в Арктике и Антарктике"</v>
      </c>
      <c r="B705" s="101" t="str">
        <f ca="1">IFERROR(__xludf.DUMMYFUNCTION("""COMPUTED_VALUE"""),"индикатор")</f>
        <v>индикатор</v>
      </c>
    </row>
    <row r="706" spans="1:2" ht="13">
      <c r="A706" s="101" t="str">
        <f ca="1">IFERROR(__xludf.DUMMYFUNCTION("""COMPUTED_VALUE"""),"Основное мероприятие ""Проектирование и строительство ледостойкой самодвижущейся платформы ""Северный полюс""")</f>
        <v>Основное мероприятие "Проектирование и строительство ледостойкой самодвижущейся платформы "Северный полюс"</v>
      </c>
      <c r="B706" s="101" t="str">
        <f ca="1">IFERROR(__xludf.DUMMYFUNCTION("""COMPUTED_VALUE"""),"индикатор")</f>
        <v>индикатор</v>
      </c>
    </row>
    <row r="707" spans="1:2" ht="13">
      <c r="A707" s="101" t="str">
        <f ca="1">IFERROR(__xludf.DUMMYFUNCTION("""COMPUTED_VALUE"""),"Основное мероприятие ""Развитие государственной сети наблюдения за загрязнением атмосферного воздуха""")</f>
        <v>Основное мероприятие "Развитие государственной сети наблюдения за загрязнением атмосферного воздуха"</v>
      </c>
      <c r="B707" s="101" t="str">
        <f ca="1">IFERROR(__xludf.DUMMYFUNCTION("""COMPUTED_VALUE"""),"индикатор")</f>
        <v>индикатор</v>
      </c>
    </row>
    <row r="708" spans="1:2" ht="13">
      <c r="A708" s="101" t="str">
        <f ca="1">IFERROR(__xludf.DUMMYFUNCTION("""COMPUTED_VALUE"""),"Основное мероприятие ""Модернизация автоматизированной ледово-информационной системы ""Север""")</f>
        <v>Основное мероприятие "Модернизация автоматизированной ледово-информационной системы "Север"</v>
      </c>
      <c r="B708" s="101" t="str">
        <f ca="1">IFERROR(__xludf.DUMMYFUNCTION("""COMPUTED_VALUE"""),"индикатор")</f>
        <v>индикатор</v>
      </c>
    </row>
    <row r="709" spans="1:2" ht="13">
      <c r="A709" s="101" t="str">
        <f ca="1">IFERROR(__xludf.DUMMYFUNCTION("""COMPUTED_VALUE"""),"Основное мероприятие ""Проведение мониторинга радиоактивного загрязнения окружающей среды Арктической зоны Российской Федерации в местах затопленных и затонувших атомных подводных лодок, а также других объектов с отработавшим ядерным топливом и радиоактив"&amp;"ными отходами""")</f>
        <v>Основное мероприятие "Проведение мониторинга радиоактивного загрязнения окружающей среды Арктической зоны Российской Федерации в местах затопленных и затонувших атомных подводных лодок, а также других объектов с отработавшим ядерным топливом и радиоактивными отходами"</v>
      </c>
      <c r="B709" s="101" t="str">
        <f ca="1">IFERROR(__xludf.DUMMYFUNCTION("""COMPUTED_VALUE"""),"индикатор")</f>
        <v>индикатор</v>
      </c>
    </row>
    <row r="710" spans="1:2" ht="13">
      <c r="A710" s="101" t="str">
        <f ca="1">IFERROR(__xludf.DUMMYFUNCTION("""COMPUTED_VALUE"""),"Основное мероприятие ""Модернизация и развитие гидрометеорологической сети наблюдений за состоянием окружающей среды в Арктической зоне Российской Федерации""")</f>
        <v>Основное мероприятие "Модернизация и развитие гидрометеорологической сети наблюдений за состоянием окружающей среды в Арктической зоне Российской Федерации"</v>
      </c>
      <c r="B710" s="101" t="str">
        <f ca="1">IFERROR(__xludf.DUMMYFUNCTION("""COMPUTED_VALUE"""),"индикатор")</f>
        <v>индикатор</v>
      </c>
    </row>
    <row r="711" spans="1:2" ht="13">
      <c r="A711" s="101" t="str">
        <f ca="1">IFERROR(__xludf.DUMMYFUNCTION("""COMPUTED_VALUE"""),"Основное мероприятие ""Физическое воспитание и обеспечение организации и проведения физкультурных мероприятий и массовых спортивных мероприятий""")</f>
        <v>Основное мероприятие "Физическое воспитание и обеспечение организации и проведения физкультурных мероприятий и массовых спортивных мероприятий"</v>
      </c>
      <c r="B711" s="101" t="str">
        <f ca="1">IFERROR(__xludf.DUMMYFUNCTION("""COMPUTED_VALUE"""),"индикатор")</f>
        <v>индикатор</v>
      </c>
    </row>
    <row r="712" spans="1:2" ht="13">
      <c r="A712" s="101" t="str">
        <f ca="1">IFERROR(__xludf.DUMMYFUNCTION("""COMPUTED_VALUE"""),"Основное мероприятие ""Совершенствование спортивной инфраструктуры и материально-технической базы для занятий физической культурой и массовым спортом, в том числе на территории Дальнего Востока""")</f>
        <v>Основное мероприятие "Совершенствование спортивной инфраструктуры и материально-технической базы для занятий физической культурой и массовым спортом, в том числе на территории Дальнего Востока"</v>
      </c>
      <c r="B712" s="101" t="str">
        <f ca="1">IFERROR(__xludf.DUMMYFUNCTION("""COMPUTED_VALUE"""),"индикатор")</f>
        <v>индикатор</v>
      </c>
    </row>
    <row r="713" spans="1:2" ht="13">
      <c r="A713" s="101" t="str">
        <f ca="1">IFERROR(__xludf.DUMMYFUNCTION("""COMPUTED_VALUE"""),"Основное мероприятие ""Организация и проведение научно-исследовательских и опытно-конструкторских работ в сфере физической культуры и массового спорта""")</f>
        <v>Основное мероприятие "Организация и проведение научно-исследовательских и опытно-конструкторских работ в сфере физической культуры и массового спорта"</v>
      </c>
      <c r="B713" s="101" t="str">
        <f ca="1">IFERROR(__xludf.DUMMYFUNCTION("""COMPUTED_VALUE"""),"индикатор")</f>
        <v>индикатор</v>
      </c>
    </row>
    <row r="714" spans="1:2" ht="13">
      <c r="A714" s="101" t="str">
        <f ca="1">IFERROR(__xludf.DUMMYFUNCTION("""COMPUTED_VALUE"""),"Основное мероприятие ""Проведение спортивных мероприятий, обеспечение подготовки спортсменов высокого класса, материально-техническое обеспечение спортивных сборных команд Российской Федерации""")</f>
        <v>Основное мероприятие "Проведение спортивных мероприятий, обеспечение подготовки спортсменов высокого класса, материально-техническое обеспечение спортивных сборных команд Российской Федерации"</v>
      </c>
      <c r="B714" s="101" t="str">
        <f ca="1">IFERROR(__xludf.DUMMYFUNCTION("""COMPUTED_VALUE"""),"индикатор")</f>
        <v>индикатор</v>
      </c>
    </row>
    <row r="715" spans="1:2" ht="13">
      <c r="A715" s="101" t="str">
        <f ca="1">IFERROR(__xludf.DUMMYFUNCTION("""COMPUTED_VALUE"""),"Основное мероприятие ""Развитие системы подготовки спортивного резерва""")</f>
        <v>Основное мероприятие "Развитие системы подготовки спортивного резерва"</v>
      </c>
      <c r="B715" s="101" t="str">
        <f ca="1">IFERROR(__xludf.DUMMYFUNCTION("""COMPUTED_VALUE"""),"индикатор")</f>
        <v>индикатор</v>
      </c>
    </row>
    <row r="716" spans="1:2" ht="13">
      <c r="A716" s="101" t="str">
        <f ca="1">IFERROR(__xludf.DUMMYFUNCTION("""COMPUTED_VALUE"""),"Основное мероприятие ""Антидопинговое обеспечение спортивных сборных команд Российской Федерации""")</f>
        <v>Основное мероприятие "Антидопинговое обеспечение спортивных сборных команд Российской Федерации"</v>
      </c>
      <c r="B716" s="101" t="str">
        <f ca="1">IFERROR(__xludf.DUMMYFUNCTION("""COMPUTED_VALUE"""),"индикатор")</f>
        <v>индикатор</v>
      </c>
    </row>
    <row r="717" spans="1:2" ht="13">
      <c r="A717" s="101" t="str">
        <f ca="1">IFERROR(__xludf.DUMMYFUNCTION("""COMPUTED_VALUE"""),"Основное мероприятие ""Подготовка и проведение особо значимых международных спортивных мероприятий, проводимых на территории Российской Федерации""")</f>
        <v>Основное мероприятие "Подготовка и проведение особо значимых международных спортивных мероприятий, проводимых на территории Российской Федерации"</v>
      </c>
      <c r="B717" s="101" t="str">
        <f ca="1">IFERROR(__xludf.DUMMYFUNCTION("""COMPUTED_VALUE"""),"индикатор")</f>
        <v>индикатор</v>
      </c>
    </row>
    <row r="718" spans="1:2" ht="13">
      <c r="A718" s="101" t="str">
        <f ca="1">IFERROR(__xludf.DUMMYFUNCTION("""COMPUTED_VALUE"""),"Основное мероприятие ""Научно-методическое и информационно-аналитическое обеспечение подготовки спортсменов высокого класса, спортивных сборных команд Российской Федерации и спортивного резерва""")</f>
        <v>Основное мероприятие "Научно-методическое и информационно-аналитическое обеспечение подготовки спортсменов высокого класса, спортивных сборных команд Российской Федерации и спортивного резерва"</v>
      </c>
      <c r="B718" s="101" t="str">
        <f ca="1">IFERROR(__xludf.DUMMYFUNCTION("""COMPUTED_VALUE"""),"индикатор")</f>
        <v>индикатор</v>
      </c>
    </row>
    <row r="719" spans="1:2" ht="13">
      <c r="A719" s="101" t="str">
        <f ca="1">IFERROR(__xludf.DUMMYFUNCTION("""COMPUTED_VALUE"""),"Основное мероприятие ""Организация и проведение научно-исследовательских и опытно-конструкторских работ в сфере спорта высших достижений""")</f>
        <v>Основное мероприятие "Организация и проведение научно-исследовательских и опытно-конструкторских работ в сфере спорта высших достижений"</v>
      </c>
      <c r="B719" s="101" t="str">
        <f ca="1">IFERROR(__xludf.DUMMYFUNCTION("""COMPUTED_VALUE"""),"индикатор")</f>
        <v>индикатор</v>
      </c>
    </row>
    <row r="720" spans="1:2" ht="13">
      <c r="A720" s="101" t="str">
        <f ca="1">IFERROR(__xludf.DUMMYFUNCTION("""COMPUTED_VALUE"""),"Основное мероприятие ""Совершенствование спортивной инфраструктуры для подготовки сборных команд Российской Федерации""")</f>
        <v>Основное мероприятие "Совершенствование спортивной инфраструктуры для подготовки сборных команд Российской Федерации"</v>
      </c>
      <c r="B720" s="101" t="str">
        <f ca="1">IFERROR(__xludf.DUMMYFUNCTION("""COMPUTED_VALUE"""),"индикатор")</f>
        <v>индикатор</v>
      </c>
    </row>
    <row r="721" spans="1:2" ht="13">
      <c r="A721" s="101" t="str">
        <f ca="1">IFERROR(__xludf.DUMMYFUNCTION("""COMPUTED_VALUE"""),"Основное мероприятие ""Реализация государственной политики в сфере физической культуры и спорта""")</f>
        <v>Основное мероприятие "Реализация государственной политики в сфере физической культуры и спорта"</v>
      </c>
      <c r="B721" s="101" t="str">
        <f ca="1">IFERROR(__xludf.DUMMYFUNCTION("""COMPUTED_VALUE"""),"индикатор")</f>
        <v>индикатор</v>
      </c>
    </row>
    <row r="722" spans="1:2" ht="13">
      <c r="A722" s="101" t="str">
        <f ca="1">IFERROR(__xludf.DUMMYFUNCTION("""COMPUTED_VALUE"""),"Основное мероприятие ""Развитие международного спортивного сотрудничества""")</f>
        <v>Основное мероприятие "Развитие международного спортивного сотрудничества"</v>
      </c>
      <c r="B722" s="101" t="str">
        <f ca="1">IFERROR(__xludf.DUMMYFUNCTION("""COMPUTED_VALUE"""),"индикатор")</f>
        <v>индикатор</v>
      </c>
    </row>
    <row r="723" spans="1:2" ht="13">
      <c r="A723" s="101" t="str">
        <f ca="1">IFERROR(__xludf.DUMMYFUNCTION("""COMPUTED_VALUE"""),"Основное мероприятие ""Внедрение современных информационно-коммуникационных технологий в сферу физической культуры и спорта""")</f>
        <v>Основное мероприятие "Внедрение современных информационно-коммуникационных технологий в сферу физической культуры и спорта"</v>
      </c>
      <c r="B723" s="101" t="str">
        <f ca="1">IFERROR(__xludf.DUMMYFUNCTION("""COMPUTED_VALUE"""),"индикатор")</f>
        <v>индикатор</v>
      </c>
    </row>
    <row r="724" spans="1:2" ht="13">
      <c r="A724" s="101" t="str">
        <f ca="1">IFERROR(__xludf.DUMMYFUNCTION("""COMPUTED_VALUE"""),"Иные мероприятия федеральной целевой программы")</f>
        <v>Иные мероприятия федеральной целевой программы</v>
      </c>
      <c r="B724" s="101" t="str">
        <f ca="1">IFERROR(__xludf.DUMMYFUNCTION("""COMPUTED_VALUE"""),"индикатор")</f>
        <v>индикатор</v>
      </c>
    </row>
    <row r="725" spans="1:2" ht="13">
      <c r="A725" s="101" t="str">
        <f ca="1">IFERROR(__xludf.DUMMYFUNCTION("""COMPUTED_VALUE"""),"Основное мероприятие ""Совершенствование спортивной инфраструктуры и материально-технической базы для развития хоккея""")</f>
        <v>Основное мероприятие "Совершенствование спортивной инфраструктуры и материально-технической базы для развития хоккея"</v>
      </c>
      <c r="B725" s="101" t="str">
        <f ca="1">IFERROR(__xludf.DUMMYFUNCTION("""COMPUTED_VALUE"""),"индикатор")</f>
        <v>индикатор</v>
      </c>
    </row>
    <row r="726" spans="1:2" ht="13">
      <c r="A726" s="101" t="str">
        <f ca="1">IFERROR(__xludf.DUMMYFUNCTION("""COMPUTED_VALUE"""),"Основное мероприятие ""Организация и проведение физкультурных, спортивных и тренировочных мероприятий по хоккею""")</f>
        <v>Основное мероприятие "Организация и проведение физкультурных, спортивных и тренировочных мероприятий по хоккею"</v>
      </c>
      <c r="B726" s="101" t="str">
        <f ca="1">IFERROR(__xludf.DUMMYFUNCTION("""COMPUTED_VALUE"""),"индикатор")</f>
        <v>индикатор</v>
      </c>
    </row>
    <row r="727" spans="1:2" ht="13">
      <c r="A727" s="101" t="str">
        <f ca="1">IFERROR(__xludf.DUMMYFUNCTION("""COMPUTED_VALUE"""),"Основное мероприятие ""Развитие и модернизация инфраструктуры и материально-технической базы для развития футбола""")</f>
        <v>Основное мероприятие "Развитие и модернизация инфраструктуры и материально-технической базы для развития футбола"</v>
      </c>
      <c r="B727" s="101" t="str">
        <f ca="1">IFERROR(__xludf.DUMMYFUNCTION("""COMPUTED_VALUE"""),"индикатор")</f>
        <v>индикатор</v>
      </c>
    </row>
    <row r="728" spans="1:2" ht="13">
      <c r="A728" s="101" t="str">
        <f ca="1">IFERROR(__xludf.DUMMYFUNCTION("""COMPUTED_VALUE"""),"Основное мероприятие ""Развитие детско-юношеского и женского футбола""")</f>
        <v>Основное мероприятие "Развитие детско-юношеского и женского футбола"</v>
      </c>
      <c r="B728" s="101" t="str">
        <f ca="1">IFERROR(__xludf.DUMMYFUNCTION("""COMPUTED_VALUE"""),"индикатор")</f>
        <v>индикатор</v>
      </c>
    </row>
    <row r="729" spans="1:2" ht="13">
      <c r="A729" s="101" t="str">
        <f ca="1">IFERROR(__xludf.DUMMYFUNCTION("""COMPUTED_VALUE"""),"Основное мероприятие ""Создание благоприятных условий для привлечения инвестиций в экономику Российской Федерации""")</f>
        <v>Основное мероприятие "Создание благоприятных условий для привлечения инвестиций в экономику Российской Федерации"</v>
      </c>
      <c r="B729" s="101" t="str">
        <f ca="1">IFERROR(__xludf.DUMMYFUNCTION("""COMPUTED_VALUE"""),"индикатор")</f>
        <v>индикатор</v>
      </c>
    </row>
    <row r="730" spans="1:2" ht="13">
      <c r="A730" s="101" t="str">
        <f ca="1">IFERROR(__xludf.DUMMYFUNCTION("""COMPUTED_VALUE"""),"Основное мероприятие ""Государственная поддержка механизма ""фабрики"" проектного финансирования""")</f>
        <v>Основное мероприятие "Государственная поддержка механизма "фабрики" проектного финансирования"</v>
      </c>
      <c r="B730" s="101" t="str">
        <f ca="1">IFERROR(__xludf.DUMMYFUNCTION("""COMPUTED_VALUE"""),"индикатор")</f>
        <v>индикатор</v>
      </c>
    </row>
    <row r="731" spans="1:2" ht="13">
      <c r="A731" s="101" t="str">
        <f ca="1">IFERROR(__xludf.DUMMYFUNCTION("""COMPUTED_VALUE"""),"Основное мероприятие ""Развитие моногородов""")</f>
        <v>Основное мероприятие "Развитие моногородов"</v>
      </c>
      <c r="B731" s="101" t="str">
        <f ca="1">IFERROR(__xludf.DUMMYFUNCTION("""COMPUTED_VALUE"""),"индикатор")</f>
        <v>индикатор</v>
      </c>
    </row>
    <row r="732" spans="1:2" ht="13">
      <c r="A732" s="101" t="str">
        <f ca="1">IFERROR(__xludf.DUMMYFUNCTION("""COMPUTED_VALUE"""),"Основное мероприятие ""Обеспечение государственного кадастрового учета, государственной регистрации прав и картографии""")</f>
        <v>Основное мероприятие "Обеспечение государственного кадастрового учета, государственной регистрации прав и картографии"</v>
      </c>
      <c r="B732" s="101" t="str">
        <f ca="1">IFERROR(__xludf.DUMMYFUNCTION("""COMPUTED_VALUE"""),"индикатор")</f>
        <v>индикатор</v>
      </c>
    </row>
    <row r="733" spans="1:2" ht="13">
      <c r="A733" s="101" t="str">
        <f ca="1">IFERROR(__xludf.DUMMYFUNCTION("""COMPUTED_VALUE"""),"Основное мероприятие ""Землеустройство и мониторинг состояния и использования земельных ресурсов""")</f>
        <v>Основное мероприятие "Землеустройство и мониторинг состояния и использования земельных ресурсов"</v>
      </c>
      <c r="B733" s="101" t="str">
        <f ca="1">IFERROR(__xludf.DUMMYFUNCTION("""COMPUTED_VALUE"""),"индикатор")</f>
        <v>индикатор</v>
      </c>
    </row>
    <row r="734" spans="1:2" ht="13">
      <c r="A734" s="101" t="str">
        <f ca="1">IFERROR(__xludf.DUMMYFUNCTION("""COMPUTED_VALUE"""),"Основное мероприятие ""Развитие инфраструктуры пространственных данных Российской Федерации""")</f>
        <v>Основное мероприятие "Развитие инфраструктуры пространственных данных Российской Федерации"</v>
      </c>
      <c r="B734" s="101" t="str">
        <f ca="1">IFERROR(__xludf.DUMMYFUNCTION("""COMPUTED_VALUE"""),"индикатор")</f>
        <v>индикатор</v>
      </c>
    </row>
    <row r="735" spans="1:2" ht="13">
      <c r="A735" s="101" t="str">
        <f ca="1">IFERROR(__xludf.DUMMYFUNCTION("""COMPUTED_VALUE"""),"Основное мероприятие ""Совершенствование предоставления государственных услуг и исполнения государственных функций""")</f>
        <v>Основное мероприятие "Совершенствование предоставления государственных услуг и исполнения государственных функций"</v>
      </c>
      <c r="B735" s="101" t="str">
        <f ca="1">IFERROR(__xludf.DUMMYFUNCTION("""COMPUTED_VALUE"""),"индикатор")</f>
        <v>индикатор</v>
      </c>
    </row>
    <row r="736" spans="1:2" ht="13">
      <c r="A736" s="101" t="str">
        <f ca="1">IFERROR(__xludf.DUMMYFUNCTION("""COMPUTED_VALUE"""),"Основное мероприятие ""Формирование единой национальной системы аккредитации""")</f>
        <v>Основное мероприятие "Формирование единой национальной системы аккредитации"</v>
      </c>
      <c r="B736" s="101" t="str">
        <f ca="1">IFERROR(__xludf.DUMMYFUNCTION("""COMPUTED_VALUE"""),"индикатор")</f>
        <v>индикатор</v>
      </c>
    </row>
    <row r="737" spans="1:2" ht="13">
      <c r="A737" s="101" t="str">
        <f ca="1">IFERROR(__xludf.DUMMYFUNCTION("""COMPUTED_VALUE"""),"Основное мероприятие ""Поддержка малого инновационного предпринимательства""")</f>
        <v>Основное мероприятие "Поддержка малого инновационного предпринимательства"</v>
      </c>
      <c r="B737" s="101" t="str">
        <f ca="1">IFERROR(__xludf.DUMMYFUNCTION("""COMPUTED_VALUE"""),"индикатор")</f>
        <v>индикатор</v>
      </c>
    </row>
    <row r="738" spans="1:2" ht="13">
      <c r="A738" s="101" t="str">
        <f ca="1">IFERROR(__xludf.DUMMYFUNCTION("""COMPUTED_VALUE"""),"Основное мероприятие ""Проведение исследований в целях инновационного развития экономики""")</f>
        <v>Основное мероприятие "Проведение исследований в целях инновационного развития экономики"</v>
      </c>
      <c r="B738" s="101" t="str">
        <f ca="1">IFERROR(__xludf.DUMMYFUNCTION("""COMPUTED_VALUE"""),"индикатор")</f>
        <v>индикатор</v>
      </c>
    </row>
    <row r="739" spans="1:2" ht="13">
      <c r="A739" s="101" t="str">
        <f ca="1">IFERROR(__xludf.DUMMYFUNCTION("""COMPUTED_VALUE"""),"Основное мероприятие ""Развитие механизмов правовой охраны и защиты интеллектуальной собственности""")</f>
        <v>Основное мероприятие "Развитие механизмов правовой охраны и защиты интеллектуальной собственности"</v>
      </c>
      <c r="B739" s="101" t="str">
        <f ca="1">IFERROR(__xludf.DUMMYFUNCTION("""COMPUTED_VALUE"""),"индикатор")</f>
        <v>индикатор</v>
      </c>
    </row>
    <row r="740" spans="1:2" ht="13">
      <c r="A740" s="101" t="str">
        <f ca="1">IFERROR(__xludf.DUMMYFUNCTION("""COMPUTED_VALUE"""),"Основное мероприятие ""Содействие развитию современной инновационной инфраструктуры в сфере нанотехнологий, механизмов и инструментов для реализации потенциала наноиндустрии""")</f>
        <v>Основное мероприятие "Содействие развитию современной инновационной инфраструктуры в сфере нанотехнологий, механизмов и инструментов для реализации потенциала наноиндустрии"</v>
      </c>
      <c r="B740" s="101" t="str">
        <f ca="1">IFERROR(__xludf.DUMMYFUNCTION("""COMPUTED_VALUE"""),"индикатор")</f>
        <v>индикатор</v>
      </c>
    </row>
    <row r="741" spans="1:2" ht="13">
      <c r="A741" s="101" t="str">
        <f ca="1">IFERROR(__xludf.DUMMYFUNCTION("""COMPUTED_VALUE"""),"Основное мероприятие ""Совершенствование контроля за применением антимонопольного законодательства""")</f>
        <v>Основное мероприятие "Совершенствование контроля за применением антимонопольного законодательства"</v>
      </c>
      <c r="B741" s="101" t="str">
        <f ca="1">IFERROR(__xludf.DUMMYFUNCTION("""COMPUTED_VALUE"""),"индикатор")</f>
        <v>индикатор</v>
      </c>
    </row>
    <row r="742" spans="1:2" ht="13">
      <c r="A742" s="101" t="str">
        <f ca="1">IFERROR(__xludf.DUMMYFUNCTION("""COMPUTED_VALUE"""),"Основное мероприятие ""Подготовка управленческих кадров для организаций народного хозяйства""")</f>
        <v>Основное мероприятие "Подготовка управленческих кадров для организаций народного хозяйства"</v>
      </c>
      <c r="B742" s="101" t="str">
        <f ca="1">IFERROR(__xludf.DUMMYFUNCTION("""COMPUTED_VALUE"""),"индикатор")</f>
        <v>индикатор</v>
      </c>
    </row>
    <row r="743" spans="1:2" ht="13">
      <c r="A743" s="101" t="str">
        <f ca="1">IFERROR(__xludf.DUMMYFUNCTION("""COMPUTED_VALUE"""),"Основное мероприятие ""Организация и проведение обучения по дополнительным профессиональным программам за рубежом, в том числе в рамках взаимных обменов с иностранными государствами на основе конкурсного отбора проектов""")</f>
        <v>Основное мероприятие "Организация и проведение обучения по дополнительным профессиональным программам за рубежом, в том числе в рамках взаимных обменов с иностранными государствами на основе конкурсного отбора проектов"</v>
      </c>
      <c r="B743" s="101" t="str">
        <f ca="1">IFERROR(__xludf.DUMMYFUNCTION("""COMPUTED_VALUE"""),"индикатор")</f>
        <v>индикатор</v>
      </c>
    </row>
    <row r="744" spans="1:2" ht="13">
      <c r="A744" s="101" t="str">
        <f ca="1">IFERROR(__xludf.DUMMYFUNCTION("""COMPUTED_VALUE"""),"Основное мероприятие ""Повышение качества и информационно-технологического обеспечения образовательных программ и контроль качества подготовки специалистов""")</f>
        <v>Основное мероприятие "Повышение качества и информационно-технологического обеспечения образовательных программ и контроль качества подготовки специалистов"</v>
      </c>
      <c r="B744" s="101" t="str">
        <f ca="1">IFERROR(__xludf.DUMMYFUNCTION("""COMPUTED_VALUE"""),"индикатор")</f>
        <v>индикатор</v>
      </c>
    </row>
    <row r="745" spans="1:2" ht="13">
      <c r="A745" s="101" t="str">
        <f ca="1">IFERROR(__xludf.DUMMYFUNCTION("""COMPUTED_VALUE"""),"Основное мероприятие ""Подготовка управленческих кадров в сфере здравоохранения, образования и культуры""")</f>
        <v>Основное мероприятие "Подготовка управленческих кадров в сфере здравоохранения, образования и культуры"</v>
      </c>
      <c r="B745" s="101" t="str">
        <f ca="1">IFERROR(__xludf.DUMMYFUNCTION("""COMPUTED_VALUE"""),"индикатор")</f>
        <v>индикатор</v>
      </c>
    </row>
    <row r="746" spans="1:2" ht="13">
      <c r="A746" s="101" t="str">
        <f ca="1">IFERROR(__xludf.DUMMYFUNCTION("""COMPUTED_VALUE"""),"Основное мероприятие ""Программа развития кадрового управленческого резерва""")</f>
        <v>Основное мероприятие "Программа развития кадрового управленческого резерва"</v>
      </c>
      <c r="B746" s="101" t="str">
        <f ca="1">IFERROR(__xludf.DUMMYFUNCTION("""COMPUTED_VALUE"""),"индикатор")</f>
        <v>индикатор</v>
      </c>
    </row>
    <row r="747" spans="1:2" ht="13">
      <c r="A747" s="101" t="str">
        <f ca="1">IFERROR(__xludf.DUMMYFUNCTION("""COMPUTED_VALUE"""),"Основное мероприятие ""Развитие государственного стратегического планирования""")</f>
        <v>Основное мероприятие "Развитие государственного стратегического планирования"</v>
      </c>
      <c r="B747" s="101" t="str">
        <f ca="1">IFERROR(__xludf.DUMMYFUNCTION("""COMPUTED_VALUE"""),"индикатор")</f>
        <v>индикатор</v>
      </c>
    </row>
    <row r="748" spans="1:2" ht="13">
      <c r="A748" s="101" t="str">
        <f ca="1">IFERROR(__xludf.DUMMYFUNCTION("""COMPUTED_VALUE"""),"Основное мероприятие ""Научно-аналитическое обеспечение развития стратегического планирования и прогнозирования""")</f>
        <v>Основное мероприятие "Научно-аналитическое обеспечение развития стратегического планирования и прогнозирования"</v>
      </c>
      <c r="B748" s="101" t="str">
        <f ca="1">IFERROR(__xludf.DUMMYFUNCTION("""COMPUTED_VALUE"""),"индикатор")</f>
        <v>индикатор</v>
      </c>
    </row>
    <row r="749" spans="1:2" ht="13">
      <c r="A749" s="101" t="str">
        <f ca="1">IFERROR(__xludf.DUMMYFUNCTION("""COMPUTED_VALUE"""),"Основное мероприятие ""Обеспечение выполнения комплекса работ по реализации Федерального плана статистических работ""")</f>
        <v>Основное мероприятие "Обеспечение выполнения комплекса работ по реализации Федерального плана статистических работ"</v>
      </c>
      <c r="B749" s="101" t="str">
        <f ca="1">IFERROR(__xludf.DUMMYFUNCTION("""COMPUTED_VALUE"""),"индикатор")</f>
        <v>индикатор</v>
      </c>
    </row>
    <row r="750" spans="1:2" ht="13">
      <c r="A750" s="101" t="str">
        <f ca="1">IFERROR(__xludf.DUMMYFUNCTION("""COMPUTED_VALUE"""),"Основное мероприятие ""Подготовка, проведение и подведение итогов всероссийских переписей населения (микропереписей)""")</f>
        <v>Основное мероприятие "Подготовка, проведение и подведение итогов всероссийских переписей населения (микропереписей)"</v>
      </c>
      <c r="B750" s="101" t="str">
        <f ca="1">IFERROR(__xludf.DUMMYFUNCTION("""COMPUTED_VALUE"""),"индикатор")</f>
        <v>индикатор</v>
      </c>
    </row>
    <row r="751" spans="1:2" ht="13">
      <c r="A751" s="101" t="str">
        <f ca="1">IFERROR(__xludf.DUMMYFUNCTION("""COMPUTED_VALUE"""),"Основное мероприятие ""Подготовка, проведение и подведение итогов всероссийских сельскохозяйственных переписей""")</f>
        <v>Основное мероприятие "Подготовка, проведение и подведение итогов всероссийских сельскохозяйственных переписей"</v>
      </c>
      <c r="B751" s="101" t="str">
        <f ca="1">IFERROR(__xludf.DUMMYFUNCTION("""COMPUTED_VALUE"""),"индикатор")</f>
        <v>индикатор</v>
      </c>
    </row>
    <row r="752" spans="1:2" ht="13">
      <c r="A752" s="101" t="str">
        <f ca="1">IFERROR(__xludf.DUMMYFUNCTION("""COMPUTED_VALUE"""),"Основное мероприятие ""Разработка базовых таблиц ""затраты - выпуск"" и подготовка, проведение и подведение итогов сплошного федерального статистического наблюдения за деятельностью субъектов малого и среднего предпринимательства""")</f>
        <v>Основное мероприятие "Разработка базовых таблиц "затраты - выпуск" и подготовка, проведение и подведение итогов сплошного федерального статистического наблюдения за деятельностью субъектов малого и среднего предпринимательства"</v>
      </c>
      <c r="B752" s="101" t="str">
        <f ca="1">IFERROR(__xludf.DUMMYFUNCTION("""COMPUTED_VALUE"""),"индикатор")</f>
        <v>индикатор</v>
      </c>
    </row>
    <row r="753" spans="1:2" ht="13">
      <c r="A753" s="101" t="str">
        <f ca="1">IFERROR(__xludf.DUMMYFUNCTION("""COMPUTED_VALUE"""),"Основное мероприятие ""Организация системы федеральных статистических наблюдений по социально-демографическим проблемам и мониторинга экономических потерь от смертности, заболеваемости и инвалидизации населения""")</f>
        <v>Основное мероприятие "Организация системы федеральных статистических наблюдений по социально-демографическим проблемам и мониторинга экономических потерь от смертности, заболеваемости и инвалидизации населения"</v>
      </c>
      <c r="B753" s="101" t="str">
        <f ca="1">IFERROR(__xludf.DUMMYFUNCTION("""COMPUTED_VALUE"""),"индикатор")</f>
        <v>индикатор</v>
      </c>
    </row>
    <row r="754" spans="1:2" ht="13">
      <c r="A754" s="101" t="str">
        <f ca="1">IFERROR(__xludf.DUMMYFUNCTION("""COMPUTED_VALUE"""),"Основное мероприятие ""Организация и проведение выборочных обследований отдельных аспектов занятости населения и оплаты труда""")</f>
        <v>Основное мероприятие "Организация и проведение выборочных обследований отдельных аспектов занятости населения и оплаты труда"</v>
      </c>
      <c r="B754" s="101" t="str">
        <f ca="1">IFERROR(__xludf.DUMMYFUNCTION("""COMPUTED_VALUE"""),"индикатор")</f>
        <v>индикатор</v>
      </c>
    </row>
    <row r="755" spans="1:2" ht="13">
      <c r="A755" s="101" t="str">
        <f ca="1">IFERROR(__xludf.DUMMYFUNCTION("""COMPUTED_VALUE"""),"Основное мероприятие ""Развитие системы государственной статистики""")</f>
        <v>Основное мероприятие "Развитие системы государственной статистики"</v>
      </c>
      <c r="B755" s="101" t="str">
        <f ca="1">IFERROR(__xludf.DUMMYFUNCTION("""COMPUTED_VALUE"""),"индикатор")</f>
        <v>индикатор</v>
      </c>
    </row>
    <row r="756" spans="1:2" ht="13">
      <c r="A756" s="101" t="str">
        <f ca="1">IFERROR(__xludf.DUMMYFUNCTION("""COMPUTED_VALUE"""),"Основное мероприятие ""Создание и развитие инновационной экосистемы, управление инфраструктурой инновационного центра ""Сколково""")</f>
        <v>Основное мероприятие "Создание и развитие инновационной экосистемы, управление инфраструктурой инновационного центра "Сколково"</v>
      </c>
      <c r="B756" s="101" t="str">
        <f ca="1">IFERROR(__xludf.DUMMYFUNCTION("""COMPUTED_VALUE"""),"индикатор")</f>
        <v>индикатор</v>
      </c>
    </row>
    <row r="757" spans="1:2" ht="13">
      <c r="A757" s="101" t="str">
        <f ca="1">IFERROR(__xludf.DUMMYFUNCTION("""COMPUTED_VALUE"""),"Основное мероприятие ""Создание и развитие Сколковского института науки и технологий""")</f>
        <v>Основное мероприятие "Создание и развитие Сколковского института науки и технологий"</v>
      </c>
      <c r="B757" s="101" t="str">
        <f ca="1">IFERROR(__xludf.DUMMYFUNCTION("""COMPUTED_VALUE"""),"индикатор")</f>
        <v>индикатор</v>
      </c>
    </row>
    <row r="758" spans="1:2" ht="13">
      <c r="A758" s="101" t="str">
        <f ca="1">IFERROR(__xludf.DUMMYFUNCTION("""COMPUTED_VALUE"""),"Федеральная целевая программа ""Развитие единой государственной системы регистрации прав и кадастрового учета недвижимости (2014 - 2020 годы)""")</f>
        <v>Федеральная целевая программа "Развитие единой государственной системы регистрации прав и кадастрового учета недвижимости (2014 - 2020 годы)"</v>
      </c>
      <c r="B758" s="101" t="str">
        <f ca="1">IFERROR(__xludf.DUMMYFUNCTION("""COMPUTED_VALUE"""),"индикатор")</f>
        <v>индикатор</v>
      </c>
    </row>
    <row r="759" spans="1:2" ht="13">
      <c r="A759" s="101" t="str">
        <f ca="1">IFERROR(__xludf.DUMMYFUNCTION("""COMPUTED_VALUE"""),"Основное мероприятие ""Информационное обеспечение государственной политики в области энергосбережения и повышения энергетической эффективности""")</f>
        <v>Основное мероприятие "Информационное обеспечение государственной политики в области энергосбережения и повышения энергетической эффективности"</v>
      </c>
      <c r="B759" s="101" t="str">
        <f ca="1">IFERROR(__xludf.DUMMYFUNCTION("""COMPUTED_VALUE"""),"индикатор")</f>
        <v>индикатор</v>
      </c>
    </row>
    <row r="760" spans="1:2" ht="13">
      <c r="A760" s="101" t="str">
        <f ca="1">IFERROR(__xludf.DUMMYFUNCTION("""COMPUTED_VALUE"""),"Основное мероприятие ""Создание благоприятных условий для развития туризма в Российской Федерации""")</f>
        <v>Основное мероприятие "Создание благоприятных условий для развития туризма в Российской Федерации"</v>
      </c>
      <c r="B760" s="101" t="str">
        <f ca="1">IFERROR(__xludf.DUMMYFUNCTION("""COMPUTED_VALUE"""),"индикатор")</f>
        <v>индикатор</v>
      </c>
    </row>
    <row r="761" spans="1:2" ht="13">
      <c r="A761" s="101" t="str">
        <f ca="1">IFERROR(__xludf.DUMMYFUNCTION("""COMPUTED_VALUE"""),"Основное мероприятие ""Развитие федеральной государственной информационно-аналитической системы ""Единая система управления государственным имуществом""")</f>
        <v>Основное мероприятие "Развитие федеральной государственной информационно-аналитической системы "Единая система управления государственным имуществом"</v>
      </c>
      <c r="B761" s="101" t="str">
        <f ca="1">IFERROR(__xludf.DUMMYFUNCTION("""COMPUTED_VALUE"""),"индикатор")</f>
        <v>индикатор</v>
      </c>
    </row>
    <row r="762" spans="1:2" ht="13">
      <c r="A762" s="101" t="str">
        <f ca="1">IFERROR(__xludf.DUMMYFUNCTION("""COMPUTED_VALUE"""),"Основное мероприятие ""Инвентаризация и вовлечение в гражданско-правовые отношения объектов имущества, составляющего казну Российской Федерации, и обеспечение сохранности имущества, ограниченного в обороте""")</f>
        <v>Основное мероприятие "Инвентаризация и вовлечение в гражданско-правовые отношения объектов имущества, составляющего казну Российской Федерации, и обеспечение сохранности имущества, ограниченного в обороте"</v>
      </c>
      <c r="B762" s="101" t="str">
        <f ca="1">IFERROR(__xludf.DUMMYFUNCTION("""COMPUTED_VALUE"""),"индикатор")</f>
        <v>индикатор</v>
      </c>
    </row>
    <row r="763" spans="1:2" ht="13">
      <c r="A763" s="101" t="str">
        <f ca="1">IFERROR(__xludf.DUMMYFUNCTION("""COMPUTED_VALUE"""),"Основное мероприятие ""Инвентаризация и вовлечение земельных участков в гражданско-правовые отношения""")</f>
        <v>Основное мероприятие "Инвентаризация и вовлечение земельных участков в гражданско-правовые отношения"</v>
      </c>
      <c r="B763" s="101" t="str">
        <f ca="1">IFERROR(__xludf.DUMMYFUNCTION("""COMPUTED_VALUE"""),"индикатор")</f>
        <v>индикатор</v>
      </c>
    </row>
    <row r="764" spans="1:2" ht="13">
      <c r="A764" s="101" t="str">
        <f ca="1">IFERROR(__xludf.DUMMYFUNCTION("""COMPUTED_VALUE"""),"Основное мероприятие ""Повышение эффективности управления организациями с государственным участием и оптимизация их состава""")</f>
        <v>Основное мероприятие "Повышение эффективности управления организациями с государственным участием и оптимизация их состава"</v>
      </c>
      <c r="B764" s="101" t="str">
        <f ca="1">IFERROR(__xludf.DUMMYFUNCTION("""COMPUTED_VALUE"""),"индикатор")</f>
        <v>индикатор</v>
      </c>
    </row>
    <row r="765" spans="1:2" ht="13">
      <c r="A765" s="101" t="str">
        <f ca="1">IFERROR(__xludf.DUMMYFUNCTION("""COMPUTED_VALUE"""),"Основное мероприятие ""Обеспечение реализации подпрограммы""")</f>
        <v>Основное мероприятие "Обеспечение реализации подпрограммы"</v>
      </c>
      <c r="B765" s="101" t="str">
        <f ca="1">IFERROR(__xludf.DUMMYFUNCTION("""COMPUTED_VALUE"""),"индикатор")</f>
        <v>индикатор</v>
      </c>
    </row>
    <row r="766" spans="1:2" ht="13">
      <c r="A766" s="101" t="str">
        <f ca="1">IFERROR(__xludf.DUMMYFUNCTION("""COMPUTED_VALUE"""),"Основное мероприятие ""Развитие автомобилестроения""")</f>
        <v>Основное мероприятие "Развитие автомобилестроения"</v>
      </c>
      <c r="B766" s="101" t="str">
        <f ca="1">IFERROR(__xludf.DUMMYFUNCTION("""COMPUTED_VALUE"""),"индикатор")</f>
        <v>индикатор</v>
      </c>
    </row>
    <row r="767" spans="1:2" ht="13">
      <c r="A767" s="101" t="str">
        <f ca="1">IFERROR(__xludf.DUMMYFUNCTION("""COMPUTED_VALUE"""),"Основное мероприятие ""Развитие сельскохозяйственного машиностроения, машиностроения для пищевой и перерабатывающей промышленности""")</f>
        <v>Основное мероприятие "Развитие сельскохозяйственного машиностроения, машиностроения для пищевой и перерабатывающей промышленности"</v>
      </c>
      <c r="B767" s="101" t="str">
        <f ca="1">IFERROR(__xludf.DUMMYFUNCTION("""COMPUTED_VALUE"""),"индикатор")</f>
        <v>индикатор</v>
      </c>
    </row>
    <row r="768" spans="1:2" ht="13">
      <c r="A768" s="101" t="str">
        <f ca="1">IFERROR(__xludf.DUMMYFUNCTION("""COMPUTED_VALUE"""),"Основное мероприятие ""Развитие машиностроения специализированных производств (строительно-дорожная и коммунальная техника, пожарная, аэродромная, лесная техника)""")</f>
        <v>Основное мероприятие "Развитие машиностроения специализированных производств (строительно-дорожная и коммунальная техника, пожарная, аэродромная, лесная техника)"</v>
      </c>
      <c r="B768" s="101" t="str">
        <f ca="1">IFERROR(__xludf.DUMMYFUNCTION("""COMPUTED_VALUE"""),"индикатор")</f>
        <v>индикатор</v>
      </c>
    </row>
    <row r="769" spans="1:2" ht="13">
      <c r="A769" s="101" t="str">
        <f ca="1">IFERROR(__xludf.DUMMYFUNCTION("""COMPUTED_VALUE"""),"Основное мероприятие ""Государственная поддержка организаций транспортного и специального машиностроения""")</f>
        <v>Основное мероприятие "Государственная поддержка организаций транспортного и специального машиностроения"</v>
      </c>
      <c r="B769" s="101" t="str">
        <f ca="1">IFERROR(__xludf.DUMMYFUNCTION("""COMPUTED_VALUE"""),"индикатор")</f>
        <v>индикатор</v>
      </c>
    </row>
    <row r="770" spans="1:2" ht="13">
      <c r="A770" s="101" t="str">
        <f ca="1">IFERROR(__xludf.DUMMYFUNCTION("""COMPUTED_VALUE"""),"Основное мероприятие ""Развитие тяжелого машиностроения""")</f>
        <v>Основное мероприятие "Развитие тяжелого машиностроения"</v>
      </c>
      <c r="B770" s="101" t="str">
        <f ca="1">IFERROR(__xludf.DUMMYFUNCTION("""COMPUTED_VALUE"""),"индикатор")</f>
        <v>индикатор</v>
      </c>
    </row>
    <row r="771" spans="1:2" ht="13">
      <c r="A771" s="101" t="str">
        <f ca="1">IFERROR(__xludf.DUMMYFUNCTION("""COMPUTED_VALUE"""),"Основное мероприятие ""Развитие промышленности силовой электротехники и энергетического машиностроения""")</f>
        <v>Основное мероприятие "Развитие промышленности силовой электротехники и энергетического машиностроения"</v>
      </c>
      <c r="B771" s="101" t="str">
        <f ca="1">IFERROR(__xludf.DUMMYFUNCTION("""COMPUTED_VALUE"""),"индикатор")</f>
        <v>индикатор</v>
      </c>
    </row>
    <row r="772" spans="1:2" ht="13">
      <c r="A772" s="101" t="str">
        <f ca="1">IFERROR(__xludf.DUMMYFUNCTION("""COMPUTED_VALUE"""),"Основное мероприятие ""Развитие робототехники, цифрового производства и аддитивных технологий""")</f>
        <v>Основное мероприятие "Развитие робототехники, цифрового производства и аддитивных технологий"</v>
      </c>
      <c r="B772" s="101" t="str">
        <f ca="1">IFERROR(__xludf.DUMMYFUNCTION("""COMPUTED_VALUE"""),"индикатор")</f>
        <v>индикатор</v>
      </c>
    </row>
    <row r="773" spans="1:2" ht="13">
      <c r="A773" s="101" t="str">
        <f ca="1">IFERROR(__xludf.DUMMYFUNCTION("""COMPUTED_VALUE"""),"Основное мероприятие ""Развитие легкой и текстильной промышленности""")</f>
        <v>Основное мероприятие "Развитие легкой и текстильной промышленности"</v>
      </c>
      <c r="B773" s="101" t="str">
        <f ca="1">IFERROR(__xludf.DUMMYFUNCTION("""COMPUTED_VALUE"""),"индикатор")</f>
        <v>индикатор</v>
      </c>
    </row>
    <row r="774" spans="1:2" ht="13">
      <c r="A774" s="101" t="str">
        <f ca="1">IFERROR(__xludf.DUMMYFUNCTION("""COMPUTED_VALUE"""),"Основное мероприятие ""Поддержка производства и реализации изделий народных художественных промыслов""")</f>
        <v>Основное мероприятие "Поддержка производства и реализации изделий народных художественных промыслов"</v>
      </c>
      <c r="B774" s="101" t="str">
        <f ca="1">IFERROR(__xludf.DUMMYFUNCTION("""COMPUTED_VALUE"""),"индикатор")</f>
        <v>индикатор</v>
      </c>
    </row>
    <row r="775" spans="1:2" ht="13">
      <c r="A775" s="101" t="str">
        <f ca="1">IFERROR(__xludf.DUMMYFUNCTION("""COMPUTED_VALUE"""),"Основное мероприятие ""Развитие металлургии и промышленности редких и редкоземельных металлов""")</f>
        <v>Основное мероприятие "Развитие металлургии и промышленности редких и редкоземельных металлов"</v>
      </c>
      <c r="B775" s="101" t="str">
        <f ca="1">IFERROR(__xludf.DUMMYFUNCTION("""COMPUTED_VALUE"""),"индикатор")</f>
        <v>индикатор</v>
      </c>
    </row>
    <row r="776" spans="1:2" ht="13">
      <c r="A776" s="101" t="str">
        <f ca="1">IFERROR(__xludf.DUMMYFUNCTION("""COMPUTED_VALUE"""),"Основное мероприятие ""Развитие предприятий лесопромышленного комплекса""")</f>
        <v>Основное мероприятие "Развитие предприятий лесопромышленного комплекса"</v>
      </c>
      <c r="B776" s="101" t="str">
        <f ca="1">IFERROR(__xludf.DUMMYFUNCTION("""COMPUTED_VALUE"""),"индикатор")</f>
        <v>индикатор</v>
      </c>
    </row>
    <row r="777" spans="1:2" ht="13">
      <c r="A777" s="101" t="str">
        <f ca="1">IFERROR(__xludf.DUMMYFUNCTION("""COMPUTED_VALUE"""),"Основное мероприятие ""Реализация приоритетных инвестиционных проектов""")</f>
        <v>Основное мероприятие "Реализация приоритетных инвестиционных проектов"</v>
      </c>
      <c r="B777" s="101" t="str">
        <f ca="1">IFERROR(__xludf.DUMMYFUNCTION("""COMPUTED_VALUE"""),"индикатор")</f>
        <v>индикатор</v>
      </c>
    </row>
    <row r="778" spans="1:2" ht="13">
      <c r="A778" s="101" t="str">
        <f ca="1">IFERROR(__xludf.DUMMYFUNCTION("""COMPUTED_VALUE"""),"Основное мероприятие ""Обеспечение деятельности Фонда развития промышленности в целях поддержки реализации инвестиционных проектов""")</f>
        <v>Основное мероприятие "Обеспечение деятельности Фонда развития промышленности в целях поддержки реализации инвестиционных проектов"</v>
      </c>
      <c r="B778" s="101" t="str">
        <f ca="1">IFERROR(__xludf.DUMMYFUNCTION("""COMPUTED_VALUE"""),"индикатор")</f>
        <v>индикатор</v>
      </c>
    </row>
    <row r="779" spans="1:2" ht="13">
      <c r="A779" s="101" t="str">
        <f ca="1">IFERROR(__xludf.DUMMYFUNCTION("""COMPUTED_VALUE"""),"Основное мероприятие ""Поддержка проектов по производству конкурентоспособной на внешних рынках высокотехнологичной промышленной продукции""")</f>
        <v>Основное мероприятие "Поддержка проектов по производству конкурентоспособной на внешних рынках высокотехнологичной промышленной продукции"</v>
      </c>
      <c r="B779" s="101" t="str">
        <f ca="1">IFERROR(__xludf.DUMMYFUNCTION("""COMPUTED_VALUE"""),"индикатор")</f>
        <v>индикатор</v>
      </c>
    </row>
    <row r="780" spans="1:2" ht="13">
      <c r="A780" s="101" t="str">
        <f ca="1">IFERROR(__xludf.DUMMYFUNCTION("""COMPUTED_VALUE"""),"Основное мероприятие ""Поддержка научно-исследовательских и опытно-конструкторских работ в гражданских отраслях промышленности""")</f>
        <v>Основное мероприятие "Поддержка научно-исследовательских и опытно-конструкторских работ в гражданских отраслях промышленности"</v>
      </c>
      <c r="B780" s="101" t="str">
        <f ca="1">IFERROR(__xludf.DUMMYFUNCTION("""COMPUTED_VALUE"""),"индикатор")</f>
        <v>индикатор</v>
      </c>
    </row>
    <row r="781" spans="1:2" ht="13">
      <c r="A781" s="101" t="str">
        <f ca="1">IFERROR(__xludf.DUMMYFUNCTION("""COMPUTED_VALUE"""),"Основное мероприятие ""Научные исследования и сопровождение приоритетных и инновационных проектов""")</f>
        <v>Основное мероприятие "Научные исследования и сопровождение приоритетных и инновационных проектов"</v>
      </c>
      <c r="B781" s="101" t="str">
        <f ca="1">IFERROR(__xludf.DUMMYFUNCTION("""COMPUTED_VALUE"""),"индикатор")</f>
        <v>индикатор</v>
      </c>
    </row>
    <row r="782" spans="1:2" ht="13">
      <c r="A782" s="101" t="str">
        <f ca="1">IFERROR(__xludf.DUMMYFUNCTION("""COMPUTED_VALUE"""),"Основное мероприятие ""Развитие научно-технологической инфраструктуры""")</f>
        <v>Основное мероприятие "Развитие научно-технологической инфраструктуры"</v>
      </c>
      <c r="B782" s="101" t="str">
        <f ca="1">IFERROR(__xludf.DUMMYFUNCTION("""COMPUTED_VALUE"""),"индикатор")</f>
        <v>индикатор</v>
      </c>
    </row>
    <row r="783" spans="1:2" ht="13">
      <c r="A783" s="101" t="str">
        <f ca="1">IFERROR(__xludf.DUMMYFUNCTION("""COMPUTED_VALUE"""),"Основное мероприятие ""Стимулирование создания и выведения на проектную мощность индустриальных (промышленных) парков, технопарков, промышленных кластеров""")</f>
        <v>Основное мероприятие "Стимулирование создания и выведения на проектную мощность индустриальных (промышленных) парков, технопарков, промышленных кластеров"</v>
      </c>
      <c r="B783" s="101" t="str">
        <f ca="1">IFERROR(__xludf.DUMMYFUNCTION("""COMPUTED_VALUE"""),"индикатор")</f>
        <v>индикатор</v>
      </c>
    </row>
    <row r="784" spans="1:2" ht="13">
      <c r="A784" s="101" t="str">
        <f ca="1">IFERROR(__xludf.DUMMYFUNCTION("""COMPUTED_VALUE"""),"Основное мероприятие ""Сопровождение развития инфраструктуры поддержки деятельности в сфере промышленности и промышленной инфраструктуры""")</f>
        <v>Основное мероприятие "Сопровождение развития инфраструктуры поддержки деятельности в сфере промышленности и промышленной инфраструктуры"</v>
      </c>
      <c r="B784" s="101" t="str">
        <f ca="1">IFERROR(__xludf.DUMMYFUNCTION("""COMPUTED_VALUE"""),"индикатор")</f>
        <v>индикатор</v>
      </c>
    </row>
    <row r="785" spans="1:2" ht="13">
      <c r="A785" s="101" t="str">
        <f ca="1">IFERROR(__xludf.DUMMYFUNCTION("""COMPUTED_VALUE"""),"Основное мероприятие ""Развитие системы технического регулирования и стандартизации""")</f>
        <v>Основное мероприятие "Развитие системы технического регулирования и стандартизации"</v>
      </c>
      <c r="B785" s="101" t="str">
        <f ca="1">IFERROR(__xludf.DUMMYFUNCTION("""COMPUTED_VALUE"""),"индикатор")</f>
        <v>индикатор</v>
      </c>
    </row>
    <row r="786" spans="1:2" ht="13">
      <c r="A786" s="101" t="str">
        <f ca="1">IFERROR(__xludf.DUMMYFUNCTION("""COMPUTED_VALUE"""),"Основное мероприятие ""Обеспечение единства измерений и развитие эталонной базы""")</f>
        <v>Основное мероприятие "Обеспечение единства измерений и развитие эталонной базы"</v>
      </c>
      <c r="B786" s="101" t="str">
        <f ca="1">IFERROR(__xludf.DUMMYFUNCTION("""COMPUTED_VALUE"""),"индикатор")</f>
        <v>индикатор</v>
      </c>
    </row>
    <row r="787" spans="1:2" ht="13">
      <c r="A787" s="101" t="str">
        <f ca="1">IFERROR(__xludf.DUMMYFUNCTION("""COMPUTED_VALUE"""),"Основное мероприятие ""Выполнение научно-исследовательских и опытно-конструкторских работ в области технического регулирования, стандартизации, обеспечения единства измерений, информации""")</f>
        <v>Основное мероприятие "Выполнение научно-исследовательских и опытно-конструкторских работ в области технического регулирования, стандартизации, обеспечения единства измерений, информации"</v>
      </c>
      <c r="B787" s="101" t="str">
        <f ca="1">IFERROR(__xludf.DUMMYFUNCTION("""COMPUTED_VALUE"""),"индикатор")</f>
        <v>индикатор</v>
      </c>
    </row>
    <row r="788" spans="1:2" ht="13">
      <c r="A788" s="101" t="str">
        <f ca="1">IFERROR(__xludf.DUMMYFUNCTION("""COMPUTED_VALUE"""),"Основное мероприятие ""Обеспечение деятельности Росстандарта""")</f>
        <v>Основное мероприятие "Обеспечение деятельности Росстандарта"</v>
      </c>
      <c r="B788" s="101" t="str">
        <f ca="1">IFERROR(__xludf.DUMMYFUNCTION("""COMPUTED_VALUE"""),"индикатор")</f>
        <v>индикатор</v>
      </c>
    </row>
    <row r="789" spans="1:2" ht="13">
      <c r="A789" s="101" t="str">
        <f ca="1">IFERROR(__xludf.DUMMYFUNCTION("""COMPUTED_VALUE"""),"Основное мероприятие ""Создание объектов обезвреживания и размещения отходов, включая создание установок термического обезвреживания и полигона захоронения отходов""")</f>
        <v>Основное мероприятие "Создание объектов обезвреживания и размещения отходов, включая создание установок термического обезвреживания и полигона захоронения отходов"</v>
      </c>
      <c r="B789" s="101" t="str">
        <f ca="1">IFERROR(__xludf.DUMMYFUNCTION("""COMPUTED_VALUE"""),"индикатор")</f>
        <v>индикатор</v>
      </c>
    </row>
    <row r="790" spans="1:2" ht="13">
      <c r="A790" s="101" t="str">
        <f ca="1">IFERROR(__xludf.DUMMYFUNCTION("""COMPUTED_VALUE"""),"Основное мероприятие ""Выполнение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f>
        <v>Основное мероприятие "Выполнение комплекса мероприятий по ликвидации последствий деятельности объектов по хранению и объектов по уничтожению химического оружия в Российской Федерации"</v>
      </c>
      <c r="B790" s="101" t="str">
        <f ca="1">IFERROR(__xludf.DUMMYFUNCTION("""COMPUTED_VALUE"""),"индикатор")</f>
        <v>индикатор</v>
      </c>
    </row>
    <row r="791" spans="1:2" ht="13">
      <c r="A791" s="101" t="str">
        <f ca="1">IFERROR(__xludf.DUMMYFUNCTION("""COMPUTED_VALUE"""),"Основное мероприятие ""Обеспечение выполнения функций уполномоченного (национального) органа Российской Федерации по выполнению Конвенции о запрещении разработки, производства, накопления и применения химического оружия и о его уничтожении""")</f>
        <v>Основное мероприятие "Обеспечение выполнения функций уполномоченного (национального) органа Российской Федерации по выполнению Конвенции о запрещении разработки, производства, накопления и применения химического оружия и о его уничтожении"</v>
      </c>
      <c r="B791" s="101" t="str">
        <f ca="1">IFERROR(__xludf.DUMMYFUNCTION("""COMPUTED_VALUE"""),"индикатор")</f>
        <v>индикатор</v>
      </c>
    </row>
    <row r="792" spans="1:2" ht="13">
      <c r="A792" s="101" t="str">
        <f ca="1">IFERROR(__xludf.DUMMYFUNCTION("""COMPUTED_VALUE"""),"Основное мероприятие ""Государственная поддержка российских организаций самолетостроения""")</f>
        <v>Основное мероприятие "Государственная поддержка российских организаций самолетостроения"</v>
      </c>
      <c r="B792" s="101" t="str">
        <f ca="1">IFERROR(__xludf.DUMMYFUNCTION("""COMPUTED_VALUE"""),"индикатор")</f>
        <v>индикатор</v>
      </c>
    </row>
    <row r="793" spans="1:2" ht="13">
      <c r="A793" s="101" t="str">
        <f ca="1">IFERROR(__xludf.DUMMYFUNCTION("""COMPUTED_VALUE"""),"Основное мероприятие ""Выполнение научно-исследовательских и опытно-конструкторских работ в области самолетостроения""")</f>
        <v>Основное мероприятие "Выполнение научно-исследовательских и опытно-конструкторских работ в области самолетостроения"</v>
      </c>
      <c r="B793" s="101" t="str">
        <f ca="1">IFERROR(__xludf.DUMMYFUNCTION("""COMPUTED_VALUE"""),"индикатор")</f>
        <v>индикатор</v>
      </c>
    </row>
    <row r="794" spans="1:2" ht="13">
      <c r="A794" s="101" t="str">
        <f ca="1">IFERROR(__xludf.DUMMYFUNCTION("""COMPUTED_VALUE"""),"Основное мероприятие ""Государственная поддержка российских организаций вертолетостроения""")</f>
        <v>Основное мероприятие "Государственная поддержка российских организаций вертолетостроения"</v>
      </c>
      <c r="B794" s="101" t="str">
        <f ca="1">IFERROR(__xludf.DUMMYFUNCTION("""COMPUTED_VALUE"""),"индикатор")</f>
        <v>индикатор</v>
      </c>
    </row>
    <row r="795" spans="1:2" ht="13">
      <c r="A795" s="101" t="str">
        <f ca="1">IFERROR(__xludf.DUMMYFUNCTION("""COMPUTED_VALUE"""),"Основное мероприятие ""Выполнение научно-исследовательских и опытно-конструкторских работ в области вертолетостроения""")</f>
        <v>Основное мероприятие "Выполнение научно-исследовательских и опытно-конструкторских работ в области вертолетостроения"</v>
      </c>
      <c r="B795" s="101" t="str">
        <f ca="1">IFERROR(__xludf.DUMMYFUNCTION("""COMPUTED_VALUE"""),"индикатор")</f>
        <v>индикатор</v>
      </c>
    </row>
    <row r="796" spans="1:2" ht="13">
      <c r="A796" s="101" t="str">
        <f ca="1">IFERROR(__xludf.DUMMYFUNCTION("""COMPUTED_VALUE"""),"Основное мероприятие ""Государственная поддержка российских организаций отрасли авиационного двигателестроения""")</f>
        <v>Основное мероприятие "Государственная поддержка российских организаций отрасли авиационного двигателестроения"</v>
      </c>
      <c r="B796" s="101" t="str">
        <f ca="1">IFERROR(__xludf.DUMMYFUNCTION("""COMPUTED_VALUE"""),"индикатор")</f>
        <v>индикатор</v>
      </c>
    </row>
    <row r="797" spans="1:2" ht="13">
      <c r="A797" s="101" t="str">
        <f ca="1">IFERROR(__xludf.DUMMYFUNCTION("""COMPUTED_VALUE"""),"Основное мероприятие ""Выполнение научно-исследовательских и опытно-конструкторских работ в области авиационного двигателестроения""")</f>
        <v>Основное мероприятие "Выполнение научно-исследовательских и опытно-конструкторских работ в области авиационного двигателестроения"</v>
      </c>
      <c r="B797" s="101" t="str">
        <f ca="1">IFERROR(__xludf.DUMMYFUNCTION("""COMPUTED_VALUE"""),"индикатор")</f>
        <v>индикатор</v>
      </c>
    </row>
    <row r="798" spans="1:2" ht="13">
      <c r="A798" s="101" t="str">
        <f ca="1">IFERROR(__xludf.DUMMYFUNCTION("""COMPUTED_VALUE"""),"Основное мероприятие ""Государственная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f>
        <v>Основное мероприятие "Государственная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v>
      </c>
      <c r="B798" s="101" t="str">
        <f ca="1">IFERROR(__xludf.DUMMYFUNCTION("""COMPUTED_VALUE"""),"индикатор")</f>
        <v>индикатор</v>
      </c>
    </row>
    <row r="799" spans="1:2" ht="13">
      <c r="A799" s="101" t="str">
        <f ca="1">IFERROR(__xludf.DUMMYFUNCTION("""COMPUTED_VALUE"""),"Основное мероприятие ""Выполнение научно-исследовательских и опытно-конструкторских работ в области авиационных агрегатов и приборов""")</f>
        <v>Основное мероприятие "Выполнение научно-исследовательских и опытно-конструкторских работ в области авиационных агрегатов и приборов"</v>
      </c>
      <c r="B799" s="101" t="str">
        <f ca="1">IFERROR(__xludf.DUMMYFUNCTION("""COMPUTED_VALUE"""),"индикатор")</f>
        <v>индикатор</v>
      </c>
    </row>
    <row r="800" spans="1:2" ht="13">
      <c r="A800" s="101" t="str">
        <f ca="1">IFERROR(__xludf.DUMMYFUNCTION("""COMPUTED_VALUE"""),"Основное мероприятие ""Государственная поддержка российских научных организаций, осуществляющих исследования в области развития авиации и авиационной деятельности""")</f>
        <v>Основное мероприятие "Государственная поддержка российских научных организаций, осуществляющих исследования в области развития авиации и авиационной деятельности"</v>
      </c>
      <c r="B800" s="101" t="str">
        <f ca="1">IFERROR(__xludf.DUMMYFUNCTION("""COMPUTED_VALUE"""),"индикатор")</f>
        <v>индикатор</v>
      </c>
    </row>
    <row r="801" spans="1:2" ht="13">
      <c r="A801" s="101" t="str">
        <f ca="1">IFERROR(__xludf.DUMMYFUNCTION("""COMPUTED_VALUE"""),"Основное мероприятие ""Выполнение научно-исследовательских работ в целях развития науки и технологий в авиастроении и технологической и инженерной инфраструктуры, в том числе на базе инновационных территориальных кластеров""")</f>
        <v>Основное мероприятие "Выполнение научно-исследовательских работ в целях развития науки и технологий в авиастроении и технологической и инженерной инфраструктуры, в том числе на базе инновационных территориальных кластеров"</v>
      </c>
      <c r="B801" s="101" t="str">
        <f ca="1">IFERROR(__xludf.DUMMYFUNCTION("""COMPUTED_VALUE"""),"индикатор")</f>
        <v>индикатор</v>
      </c>
    </row>
    <row r="802" spans="1:2" ht="13">
      <c r="A802" s="101" t="str">
        <f ca="1">IFERROR(__xludf.DUMMYFUNCTION("""COMPUTED_VALUE"""),"Основное мероприятие ""Научно-аналитическое обеспечение реализации государственной программы""")</f>
        <v>Основное мероприятие "Научно-аналитическое обеспечение реализации государственной программы"</v>
      </c>
      <c r="B802" s="101" t="str">
        <f ca="1">IFERROR(__xludf.DUMMYFUNCTION("""COMPUTED_VALUE"""),"индикатор")</f>
        <v>индикатор</v>
      </c>
    </row>
    <row r="803" spans="1:2" ht="13">
      <c r="A803" s="101" t="str">
        <f ca="1">IFERROR(__xludf.DUMMYFUNCTION("""COMPUTED_VALUE"""),"Основное мероприятие ""Государственная поддержка авиационной промышленности""")</f>
        <v>Основное мероприятие "Государственная поддержка авиационной промышленности"</v>
      </c>
      <c r="B803" s="101" t="str">
        <f ca="1">IFERROR(__xludf.DUMMYFUNCTION("""COMPUTED_VALUE"""),"индикатор")</f>
        <v>индикатор</v>
      </c>
    </row>
    <row r="804" spans="1:2" ht="13">
      <c r="A804" s="101" t="str">
        <f ca="1">IFERROR(__xludf.DUMMYFUNCTION("""COMPUTED_VALUE"""),"Основное мероприятие ""Создание научно-технического задела для развития морской и речной техники гражданского назначения""")</f>
        <v>Основное мероприятие "Создание научно-технического задела для развития морской и речной техники гражданского назначения"</v>
      </c>
      <c r="B804" s="101" t="str">
        <f ca="1">IFERROR(__xludf.DUMMYFUNCTION("""COMPUTED_VALUE"""),"индикатор")</f>
        <v>индикатор</v>
      </c>
    </row>
    <row r="805" spans="1:2" ht="13">
      <c r="A805" s="101" t="str">
        <f ca="1">IFERROR(__xludf.DUMMYFUNCTION("""COMPUTED_VALUE"""),"Основное мероприятие ""Системно-аналитическое и экспертное сопровождение научной деятельности""")</f>
        <v>Основное мероприятие "Системно-аналитическое и экспертное сопровождение научной деятельности"</v>
      </c>
      <c r="B805" s="101" t="str">
        <f ca="1">IFERROR(__xludf.DUMMYFUNCTION("""COMPUTED_VALUE"""),"индикатор")</f>
        <v>индикатор</v>
      </c>
    </row>
    <row r="806" spans="1:2" ht="13">
      <c r="A806" s="101" t="str">
        <f ca="1">IFERROR(__xludf.DUMMYFUNCTION("""COMPUTED_VALUE"""),"Основное мероприятие ""Разработка новых технологий и создание инновационных проектов для производства гражданской морской и речной техники""")</f>
        <v>Основное мероприятие "Разработка новых технологий и создание инновационных проектов для производства гражданской морской и речной техники"</v>
      </c>
      <c r="B806" s="101" t="str">
        <f ca="1">IFERROR(__xludf.DUMMYFUNCTION("""COMPUTED_VALUE"""),"индикатор")</f>
        <v>индикатор</v>
      </c>
    </row>
    <row r="807" spans="1:2" ht="13">
      <c r="A807" s="101" t="str">
        <f ca="1">IFERROR(__xludf.DUMMYFUNCTION("""COMPUTED_VALUE"""),"Основное мероприятие ""Реализация приоритетных проектов развития производственных мощностей гражданского судостроения""")</f>
        <v>Основное мероприятие "Реализация приоритетных проектов развития производственных мощностей гражданского судостроения"</v>
      </c>
      <c r="B807" s="101" t="str">
        <f ca="1">IFERROR(__xludf.DUMMYFUNCTION("""COMPUTED_VALUE"""),"индикатор")</f>
        <v>индикатор</v>
      </c>
    </row>
    <row r="808" spans="1:2" ht="13">
      <c r="A808" s="101" t="str">
        <f ca="1">IFERROR(__xludf.DUMMYFUNCTION("""COMPUTED_VALUE"""),"Основное мероприятие ""Создание и реконструкция производственных мощностей российского судостроения""")</f>
        <v>Основное мероприятие "Создание и реконструкция производственных мощностей российского судостроения"</v>
      </c>
      <c r="B808" s="101" t="str">
        <f ca="1">IFERROR(__xludf.DUMMYFUNCTION("""COMPUTED_VALUE"""),"индикатор")</f>
        <v>индикатор</v>
      </c>
    </row>
    <row r="809" spans="1:2" ht="13">
      <c r="A809" s="101" t="str">
        <f ca="1">IFERROR(__xludf.DUMMYFUNCTION("""COMPUTED_VALUE"""),"Основное мероприятие ""Предоставление государственной поддержки российским судостроительным предприятиям""")</f>
        <v>Основное мероприятие "Предоставление государственной поддержки российским судостроительным предприятиям"</v>
      </c>
      <c r="B809" s="101" t="str">
        <f ca="1">IFERROR(__xludf.DUMMYFUNCTION("""COMPUTED_VALUE"""),"индикатор")</f>
        <v>индикатор</v>
      </c>
    </row>
    <row r="810" spans="1:2" ht="13">
      <c r="A810" s="101" t="str">
        <f ca="1">IFERROR(__xludf.DUMMYFUNCTION("""COMPUTED_VALUE"""),"Основное мероприятие ""Предоставление государственной поддержки российским транспортным компаниям, пароходствам, организациям рыбохозяйственного комплекса в целях приобретения гражданских судов и (или) утилизации отдельных групп судов""")</f>
        <v>Основное мероприятие "Предоставление государственной поддержки российским транспортным компаниям, пароходствам, организациям рыбохозяйственного комплекса в целях приобретения гражданских судов и (или) утилизации отдельных групп судов"</v>
      </c>
      <c r="B810" s="101" t="str">
        <f ca="1">IFERROR(__xludf.DUMMYFUNCTION("""COMPUTED_VALUE"""),"индикатор")</f>
        <v>индикатор</v>
      </c>
    </row>
    <row r="811" spans="1:2" ht="13">
      <c r="A811" s="101" t="str">
        <f ca="1">IFERROR(__xludf.DUMMYFUNCTION("""COMPUTED_VALUE"""),"Основное мероприятие ""Государственная поддержка создания научно-технического задела""")</f>
        <v>Основное мероприятие "Государственная поддержка создания научно-технического задела"</v>
      </c>
      <c r="B811" s="101" t="str">
        <f ca="1">IFERROR(__xludf.DUMMYFUNCTION("""COMPUTED_VALUE"""),"индикатор")</f>
        <v>индикатор</v>
      </c>
    </row>
    <row r="812" spans="1:2" ht="13">
      <c r="A812" s="101" t="str">
        <f ca="1">IFERROR(__xludf.DUMMYFUNCTION("""COMPUTED_VALUE"""),"Основное мероприятие ""Государственная поддержка создания производственной базы""")</f>
        <v>Основное мероприятие "Государственная поддержка создания производственной базы"</v>
      </c>
      <c r="B812" s="101" t="str">
        <f ca="1">IFERROR(__xludf.DUMMYFUNCTION("""COMPUTED_VALUE"""),"индикатор")</f>
        <v>индикатор</v>
      </c>
    </row>
    <row r="813" spans="1:2" ht="13">
      <c r="A813" s="101" t="str">
        <f ca="1">IFERROR(__xludf.DUMMYFUNCTION("""COMPUTED_VALUE"""),"Основное мероприятие ""Государственная поддержка создания научно-технического задела""")</f>
        <v>Основное мероприятие "Государственная поддержка создания научно-технического задела"</v>
      </c>
      <c r="B813" s="101" t="str">
        <f ca="1">IFERROR(__xludf.DUMMYFUNCTION("""COMPUTED_VALUE"""),"индикатор")</f>
        <v>индикатор</v>
      </c>
    </row>
    <row r="814" spans="1:2" ht="13">
      <c r="A814" s="101" t="str">
        <f ca="1">IFERROR(__xludf.DUMMYFUNCTION("""COMPUTED_VALUE"""),"Основное мероприятие ""Государственная поддержка создания производственной базы""")</f>
        <v>Основное мероприятие "Государственная поддержка создания производственной базы"</v>
      </c>
      <c r="B814" s="101" t="str">
        <f ca="1">IFERROR(__xludf.DUMMYFUNCTION("""COMPUTED_VALUE"""),"индикатор")</f>
        <v>индикатор</v>
      </c>
    </row>
    <row r="815" spans="1:2" ht="13">
      <c r="A815" s="101" t="str">
        <f ca="1">IFERROR(__xludf.DUMMYFUNCTION("""COMPUTED_VALUE"""),"Основное мероприятие ""Государственная поддержка создания научно-технического задела""")</f>
        <v>Основное мероприятие "Государственная поддержка создания научно-технического задела"</v>
      </c>
      <c r="B815" s="101" t="str">
        <f ca="1">IFERROR(__xludf.DUMMYFUNCTION("""COMPUTED_VALUE"""),"индикатор")</f>
        <v>индикатор</v>
      </c>
    </row>
    <row r="816" spans="1:2" ht="13">
      <c r="A816" s="101" t="str">
        <f ca="1">IFERROR(__xludf.DUMMYFUNCTION("""COMPUTED_VALUE"""),"Основное мероприятие ""Государственная поддержка создания производственной базы""")</f>
        <v>Основное мероприятие "Государственная поддержка создания производственной базы"</v>
      </c>
      <c r="B816" s="101" t="str">
        <f ca="1">IFERROR(__xludf.DUMMYFUNCTION("""COMPUTED_VALUE"""),"индикатор")</f>
        <v>индикатор</v>
      </c>
    </row>
    <row r="817" spans="1:2" ht="13">
      <c r="A817" s="101" t="str">
        <f ca="1">IFERROR(__xludf.DUMMYFUNCTION("""COMPUTED_VALUE"""),"Основное мероприятие ""Государственная поддержка создания научно-технического задела""")</f>
        <v>Основное мероприятие "Государственная поддержка создания научно-технического задела"</v>
      </c>
      <c r="B817" s="101" t="str">
        <f ca="1">IFERROR(__xludf.DUMMYFUNCTION("""COMPUTED_VALUE"""),"индикатор")</f>
        <v>индикатор</v>
      </c>
    </row>
    <row r="818" spans="1:2" ht="13">
      <c r="A818" s="101" t="str">
        <f ca="1">IFERROR(__xludf.DUMMYFUNCTION("""COMPUTED_VALUE"""),"Основное мероприятие ""Государственная поддержка создания производственной базы""")</f>
        <v>Основное мероприятие "Государственная поддержка создания производственной базы"</v>
      </c>
      <c r="B818" s="101" t="str">
        <f ca="1">IFERROR(__xludf.DUMMYFUNCTION("""COMPUTED_VALUE"""),"индикатор")</f>
        <v>индикатор</v>
      </c>
    </row>
    <row r="819" spans="1:2" ht="13">
      <c r="A819" s="101" t="str">
        <f ca="1">IFERROR(__xludf.DUMMYFUNCTION("""COMPUTED_VALUE"""),"Основное мероприятие ""Стимулирование производства и спроса на российскую радиоэлектронную продукцию""")</f>
        <v>Основное мероприятие "Стимулирование производства и спроса на российскую радиоэлектронную продукцию"</v>
      </c>
      <c r="B819" s="101" t="str">
        <f ca="1">IFERROR(__xludf.DUMMYFUNCTION("""COMPUTED_VALUE"""),"индикатор")</f>
        <v>индикатор</v>
      </c>
    </row>
    <row r="820" spans="1:2" ht="13">
      <c r="A820" s="101" t="str">
        <f ca="1">IFERROR(__xludf.DUMMYFUNCTION("""COMPUTED_VALUE"""),"Основное мероприятие ""Обеспечение качества отбора и мониторинга реализации комплексных проектов в рамках государственной программы""")</f>
        <v>Основное мероприятие "Обеспечение качества отбора и мониторинга реализации комплексных проектов в рамках государственной программы"</v>
      </c>
      <c r="B820" s="101" t="str">
        <f ca="1">IFERROR(__xludf.DUMMYFUNCTION("""COMPUTED_VALUE"""),"индикатор")</f>
        <v>индикатор</v>
      </c>
    </row>
    <row r="821" spans="1:2" ht="13">
      <c r="A821" s="101" t="str">
        <f ca="1">IFERROR(__xludf.DUMMYFUNCTION("""COMPUTED_VALUE"""),"Основное мероприятие ""Развитие профессиональных компетенций трудовых ресурсов организаций электронной и радиоэлектронной промышленности""")</f>
        <v>Основное мероприятие "Развитие профессиональных компетенций трудовых ресурсов организаций электронной и радиоэлектронной промышленности"</v>
      </c>
      <c r="B821" s="101" t="str">
        <f ca="1">IFERROR(__xludf.DUMMYFUNCTION("""COMPUTED_VALUE"""),"индикатор")</f>
        <v>индикатор</v>
      </c>
    </row>
    <row r="822" spans="1:2" ht="13">
      <c r="A822" s="101" t="str">
        <f ca="1">IFERROR(__xludf.DUMMYFUNCTION("""COMPUTED_VALUE"""),"Основное мероприятие ""Реализация иных проектов в области фармацевтической промышленности""")</f>
        <v>Основное мероприятие "Реализация иных проектов в области фармацевтической промышленности"</v>
      </c>
      <c r="B822" s="101" t="str">
        <f ca="1">IFERROR(__xludf.DUMMYFUNCTION("""COMPUTED_VALUE"""),"индикатор")</f>
        <v>индикатор</v>
      </c>
    </row>
    <row r="823" spans="1:2" ht="13">
      <c r="A823" s="101" t="str">
        <f ca="1">IFERROR(__xludf.DUMMYFUNCTION("""COMPUTED_VALUE"""),"Основное мероприятие ""Реализация иных проектов в области медицинской промышленности""")</f>
        <v>Основное мероприятие "Реализация иных проектов в области медицинской промышленности"</v>
      </c>
      <c r="B823" s="101" t="str">
        <f ca="1">IFERROR(__xludf.DUMMYFUNCTION("""COMPUTED_VALUE"""),"индикатор")</f>
        <v>индикатор</v>
      </c>
    </row>
    <row r="824" spans="1:2" ht="13">
      <c r="A824" s="101" t="str">
        <f ca="1">IFERROR(__xludf.DUMMYFUNCTION("""COMPUTED_VALUE"""),"Основное мероприятие ""Развитие кадрового потенциала и информационной инфраструктуры фармацевтической и медицинской промышленности""")</f>
        <v>Основное мероприятие "Развитие кадрового потенциала и информационной инфраструктуры фармацевтической и медицинской промышленности"</v>
      </c>
      <c r="B824" s="101" t="str">
        <f ca="1">IFERROR(__xludf.DUMMYFUNCTION("""COMPUTED_VALUE"""),"индикатор")</f>
        <v>индикатор</v>
      </c>
    </row>
    <row r="825" spans="1:2" ht="13">
      <c r="A825" s="101" t="str">
        <f ca="1">IFERROR(__xludf.DUMMYFUNCTION("""COMPUTED_VALUE"""),"Основное мероприятие ""Научно-методическое, аналитическое и организационно-техническое обеспечение перехода фармацевтической и медицинской промышленности на инновационную модель развития""")</f>
        <v>Основное мероприятие "Научно-методическое, аналитическое и организационно-техническое обеспечение перехода фармацевтической и медицинской промышленности на инновационную модель развития"</v>
      </c>
      <c r="B825" s="101" t="str">
        <f ca="1">IFERROR(__xludf.DUMMYFUNCTION("""COMPUTED_VALUE"""),"индикатор")</f>
        <v>индикатор</v>
      </c>
    </row>
    <row r="826" spans="1:2" ht="13">
      <c r="A826" s="101" t="str">
        <f ca="1">IFERROR(__xludf.DUMMYFUNCTION("""COMPUTED_VALUE"""),"Основное мероприятие ""Развитие инвестиционной инфраструктуры исследований и разработок в области фармацевтической и медицинской промышленности""")</f>
        <v>Основное мероприятие "Развитие инвестиционной инфраструктуры исследований и разработок в области фармацевтической и медицинской промышленности"</v>
      </c>
      <c r="B826" s="101" t="str">
        <f ca="1">IFERROR(__xludf.DUMMYFUNCTION("""COMPUTED_VALUE"""),"индикатор")</f>
        <v>индикатор</v>
      </c>
    </row>
    <row r="827" spans="1:2" ht="13">
      <c r="A827" s="101" t="str">
        <f ca="1">IFERROR(__xludf.DUMMYFUNCTION("""COMPUTED_VALUE"""),"Основное мероприятие ""Выполнение функций по обеспечению отбора и подготовки космонавтов""")</f>
        <v>Основное мероприятие "Выполнение функций по обеспечению отбора и подготовки космонавтов"</v>
      </c>
      <c r="B827" s="101" t="str">
        <f ca="1">IFERROR(__xludf.DUMMYFUNCTION("""COMPUTED_VALUE"""),"индикатор")</f>
        <v>индикатор</v>
      </c>
    </row>
    <row r="828" spans="1:2" ht="13">
      <c r="A828" s="101" t="str">
        <f ca="1">IFERROR(__xludf.DUMMYFUNCTION("""COMPUTED_VALUE"""),"Основное мероприятие ""Поддержание потенциала космодрома ""Байконур""")</f>
        <v>Основное мероприятие "Поддержание потенциала космодрома "Байконур"</v>
      </c>
      <c r="B828" s="101" t="str">
        <f ca="1">IFERROR(__xludf.DUMMYFUNCTION("""COMPUTED_VALUE"""),"индикатор")</f>
        <v>индикатор</v>
      </c>
    </row>
    <row r="829" spans="1:2" ht="13">
      <c r="A829" s="101" t="str">
        <f ca="1">IFERROR(__xludf.DUMMYFUNCTION("""COMPUTED_VALUE"""),"Основное мероприятие ""Выполнение международных обязательств""")</f>
        <v>Основное мероприятие "Выполнение международных обязательств"</v>
      </c>
      <c r="B829" s="101" t="str">
        <f ca="1">IFERROR(__xludf.DUMMYFUNCTION("""COMPUTED_VALUE"""),"индикатор")</f>
        <v>индикатор</v>
      </c>
    </row>
    <row r="830" spans="1:2" ht="13">
      <c r="A830" s="101" t="str">
        <f ca="1">IFERROR(__xludf.DUMMYFUNCTION("""COMPUTED_VALUE"""),"Основное мероприятие ""Обеспечение страхования рисков и ответственности при запусках и летных испытаниях космических аппаратов""")</f>
        <v>Основное мероприятие "Обеспечение страхования рисков и ответственности при запусках и летных испытаниях космических аппаратов"</v>
      </c>
      <c r="B830" s="101" t="str">
        <f ca="1">IFERROR(__xludf.DUMMYFUNCTION("""COMPUTED_VALUE"""),"индикатор")</f>
        <v>индикатор</v>
      </c>
    </row>
    <row r="831" spans="1:2" ht="13">
      <c r="A831" s="101" t="str">
        <f ca="1">IFERROR(__xludf.DUMMYFUNCTION("""COMPUTED_VALUE"""),"Основное мероприятие ""Обеспечение реализации первоочередных мероприятий, связанных с созданием космодрома ""Восточный""")</f>
        <v>Основное мероприятие "Обеспечение реализации первоочередных мероприятий, связанных с созданием космодрома "Восточный"</v>
      </c>
      <c r="B831" s="101" t="str">
        <f ca="1">IFERROR(__xludf.DUMMYFUNCTION("""COMPUTED_VALUE"""),"индикатор")</f>
        <v>индикатор</v>
      </c>
    </row>
    <row r="832" spans="1:2" ht="13">
      <c r="A832" s="101" t="str">
        <f ca="1">IFERROR(__xludf.DUMMYFUNCTION("""COMPUTED_VALUE"""),"Основное мероприятие ""Осуществление производственно-технологической деятельности в космической отрасли""")</f>
        <v>Основное мероприятие "Осуществление производственно-технологической деятельности в космической отрасли"</v>
      </c>
      <c r="B832" s="101" t="str">
        <f ca="1">IFERROR(__xludf.DUMMYFUNCTION("""COMPUTED_VALUE"""),"индикатор")</f>
        <v>индикатор</v>
      </c>
    </row>
    <row r="833" spans="1:2" ht="13">
      <c r="A833" s="101" t="str">
        <f ca="1">IFERROR(__xludf.DUMMYFUNCTION("""COMPUTED_VALUE"""),"Федеральная целевая программа ""Поддержание, развитие и использование системы ГЛОНАСС на 2012 - 2020 годы""")</f>
        <v>Федеральная целевая программа "Поддержание, развитие и использование системы ГЛОНАСС на 2012 - 2020 годы"</v>
      </c>
      <c r="B833" s="101" t="str">
        <f ca="1">IFERROR(__xludf.DUMMYFUNCTION("""COMPUTED_VALUE"""),"индикатор")</f>
        <v>индикатор</v>
      </c>
    </row>
    <row r="834" spans="1:2" ht="13">
      <c r="A834" s="101" t="str">
        <f ca="1">IFERROR(__xludf.DUMMYFUNCTION("""COMPUTED_VALUE"""),"Федеральная целевая программа ""Развитие космодромов на период 2017 - 2025 годов в обеспечение космической деятельности Российской Федерации""")</f>
        <v>Федеральная целевая программа "Развитие космодромов на период 2017 - 2025 годов в обеспечение космической деятельности Российской Федерации"</v>
      </c>
      <c r="B834" s="101" t="str">
        <f ca="1">IFERROR(__xludf.DUMMYFUNCTION("""COMPUTED_VALUE"""),"индикатор")</f>
        <v>индикатор</v>
      </c>
    </row>
    <row r="835" spans="1:2" ht="13">
      <c r="A835" s="101" t="str">
        <f ca="1">IFERROR(__xludf.DUMMYFUNCTION("""COMPUTED_VALUE"""),"Федеральная космическая программа России на 2016 - 2025 годы")</f>
        <v>Федеральная космическая программа России на 2016 - 2025 годы</v>
      </c>
      <c r="B835" s="101" t="str">
        <f ca="1">IFERROR(__xludf.DUMMYFUNCTION("""COMPUTED_VALUE"""),"индикатор")</f>
        <v>индикатор</v>
      </c>
    </row>
    <row r="836" spans="1:2" ht="13">
      <c r="A836" s="101" t="str">
        <f ca="1">IFERROR(__xludf.DUMMYFUNCTION("""COMPUTED_VALUE"""),"Основное мероприятие ""Создание и поддержание орбитальной группировки космических аппаратов системы ГЛОНАСС""")</f>
        <v>Основное мероприятие "Создание и поддержание орбитальной группировки космических аппаратов системы ГЛОНАСС"</v>
      </c>
      <c r="B836" s="101" t="str">
        <f ca="1">IFERROR(__xludf.DUMMYFUNCTION("""COMPUTED_VALUE"""),"индикатор")</f>
        <v>индикатор</v>
      </c>
    </row>
    <row r="837" spans="1:2" ht="13">
      <c r="A837" s="101" t="str">
        <f ca="1">IFERROR(__xludf.DUMMYFUNCTION("""COMPUTED_VALUE"""),"Основное мероприятие ""Обращение с федеральными радиоактивными отходами, включая радиоактивные отходы, образующиеся в федеральных государственных учреждениях и федеральных казенных предприятиях""")</f>
        <v>Основное мероприятие "Обращение с федеральными радиоактивными отходами, включая радиоактивные отходы, образующиеся в федеральных государственных учреждениях и федеральных казенных предприятиях"</v>
      </c>
      <c r="B837" s="101" t="str">
        <f ca="1">IFERROR(__xludf.DUMMYFUNCTION("""COMPUTED_VALUE"""),"индикатор")</f>
        <v>индикатор</v>
      </c>
    </row>
    <row r="838" spans="1:2" ht="13">
      <c r="A838" s="101" t="str">
        <f ca="1">IFERROR(__xludf.DUMMYFUNCTION("""COMPUTED_VALUE"""),"Основное мероприятие ""Поддержание в безопасном состоянии ядерно и радиационно опасных объектов ядерного наследия""")</f>
        <v>Основное мероприятие "Поддержание в безопасном состоянии ядерно и радиационно опасных объектов ядерного наследия"</v>
      </c>
      <c r="B838" s="101" t="str">
        <f ca="1">IFERROR(__xludf.DUMMYFUNCTION("""COMPUTED_VALUE"""),"индикатор")</f>
        <v>индикатор</v>
      </c>
    </row>
    <row r="839" spans="1:2" ht="13">
      <c r="A839" s="101" t="str">
        <f ca="1">IFERROR(__xludf.DUMMYFUNCTION("""COMPUTED_VALUE"""),"Основное мероприятие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 опасных объектов""")</f>
        <v>Основное мероприятие "Промышленная утилизация атомных подводных лодок, надводных кораблей с ядерной энергетической установкой, судов атомного технологического обслуживания и реабилитация радиационно опасных объектов"</v>
      </c>
      <c r="B839" s="101" t="str">
        <f ca="1">IFERROR(__xludf.DUMMYFUNCTION("""COMPUTED_VALUE"""),"индикатор")</f>
        <v>индикатор</v>
      </c>
    </row>
    <row r="840" spans="1:2" ht="13">
      <c r="A840" s="101" t="str">
        <f ca="1">IFERROR(__xludf.DUMMYFUNCTION("""COMPUTED_VALUE"""),"Основное мероприятие ""Участие в проекте создания Международного термоядерного экспериментального реактора ИТЭР""")</f>
        <v>Основное мероприятие "Участие в проекте создания Международного термоядерного экспериментального реактора ИТЭР"</v>
      </c>
      <c r="B840" s="101" t="str">
        <f ca="1">IFERROR(__xludf.DUMMYFUNCTION("""COMPUTED_VALUE"""),"индикатор")</f>
        <v>индикатор</v>
      </c>
    </row>
    <row r="841" spans="1:2" ht="13">
      <c r="A841" s="101" t="str">
        <f ca="1">IFERROR(__xludf.DUMMYFUNCTION("""COMPUTED_VALUE"""),"Основное мероприятие ""Участие в проекте создания Центра по исследованию ионов и антипротонов в Европе""")</f>
        <v>Основное мероприятие "Участие в проекте создания Центра по исследованию ионов и антипротонов в Европе"</v>
      </c>
      <c r="B841" s="101" t="str">
        <f ca="1">IFERROR(__xludf.DUMMYFUNCTION("""COMPUTED_VALUE"""),"индикатор")</f>
        <v>индикатор</v>
      </c>
    </row>
    <row r="842" spans="1:2" ht="13">
      <c r="A842" s="101" t="str">
        <f ca="1">IFERROR(__xludf.DUMMYFUNCTION("""COMPUTED_VALUE"""),"Основное мероприятие ""Выполнение обязательств Российской Федерации в рамках участия в деятельности международных организаций""")</f>
        <v>Основное мероприятие "Выполнение обязательств Российской Федерации в рамках участия в деятельности международных организаций"</v>
      </c>
      <c r="B842" s="101" t="str">
        <f ca="1">IFERROR(__xludf.DUMMYFUNCTION("""COMPUTED_VALUE"""),"индикатор")</f>
        <v>индикатор</v>
      </c>
    </row>
    <row r="843" spans="1:2" ht="13">
      <c r="A843" s="101" t="str">
        <f ca="1">IFERROR(__xludf.DUMMYFUNCTION("""COMPUTED_VALUE"""),"Основное мероприятие ""Выполнение Государственной корпорацией по атомной энергии ""Росатом"" возложенных на нее государственных полномочий""")</f>
        <v>Основное мероприятие "Выполнение Государственной корпорацией по атомной энергии "Росатом" возложенных на нее государственных полномочий"</v>
      </c>
      <c r="B843" s="101" t="str">
        <f ca="1">IFERROR(__xludf.DUMMYFUNCTION("""COMPUTED_VALUE"""),"индикатор")</f>
        <v>индикатор</v>
      </c>
    </row>
    <row r="844" spans="1:2" ht="13">
      <c r="A844" s="101" t="str">
        <f ca="1">IFERROR(__xludf.DUMMYFUNCTION("""COMPUTED_VALUE"""),"Основное мероприятие ""Строительство атомных ледоколов нового поколения""")</f>
        <v>Основное мероприятие "Строительство атомных ледоколов нового поколения"</v>
      </c>
      <c r="B844" s="101" t="str">
        <f ca="1">IFERROR(__xludf.DUMMYFUNCTION("""COMPUTED_VALUE"""),"индикатор")</f>
        <v>индикатор</v>
      </c>
    </row>
    <row r="845" spans="1:2" ht="13">
      <c r="A845" s="101" t="str">
        <f ca="1">IFERROR(__xludf.DUMMYFUNCTION("""COMPUTED_VALUE"""),"Федеральная целевая программа ""Обеспечение ядерной и радиационной безопасности на 2016 - 2020 годы и на период до 2030 года""")</f>
        <v>Федеральная целевая программа "Обеспечение ядерной и радиационной безопасности на 2016 - 2020 годы и на период до 2030 года"</v>
      </c>
      <c r="B845" s="101" t="str">
        <f ca="1">IFERROR(__xludf.DUMMYFUNCTION("""COMPUTED_VALUE"""),"индикатор")</f>
        <v>индикатор</v>
      </c>
    </row>
    <row r="846" spans="1:2" ht="13">
      <c r="A846" s="101" t="str">
        <f ca="1">IFERROR(__xludf.DUMMYFUNCTION("""COMPUTED_VALUE"""),"Основное мероприятие ""Разработка и имплементация базовых термоядерных технологий""")</f>
        <v>Основное мероприятие "Разработка и имплементация базовых термоядерных технологий"</v>
      </c>
      <c r="B846" s="101" t="str">
        <f ca="1">IFERROR(__xludf.DUMMYFUNCTION("""COMPUTED_VALUE"""),"индикатор")</f>
        <v>индикатор</v>
      </c>
    </row>
    <row r="847" spans="1:2" ht="13">
      <c r="A847" s="101" t="str">
        <f ca="1">IFERROR(__xludf.DUMMYFUNCTION("""COMPUTED_VALUE"""),"Основное мероприятие ""Исследования и разработки по гибридным реакторным технологиям и системам""")</f>
        <v>Основное мероприятие "Исследования и разработки по гибридным реакторным технологиям и системам"</v>
      </c>
      <c r="B847" s="101" t="str">
        <f ca="1">IFERROR(__xludf.DUMMYFUNCTION("""COMPUTED_VALUE"""),"индикатор")</f>
        <v>индикатор</v>
      </c>
    </row>
    <row r="848" spans="1:2" ht="13">
      <c r="A848" s="101" t="str">
        <f ca="1">IFERROR(__xludf.DUMMYFUNCTION("""COMPUTED_VALUE"""),"Основное мероприятие ""Разработка инновационных плазменных технологий, в том числе опытно-промышленных""")</f>
        <v>Основное мероприятие "Разработка инновационных плазменных технологий, в том числе опытно-промышленных"</v>
      </c>
      <c r="B848" s="101" t="str">
        <f ca="1">IFERROR(__xludf.DUMMYFUNCTION("""COMPUTED_VALUE"""),"индикатор")</f>
        <v>индикатор</v>
      </c>
    </row>
    <row r="849" spans="1:2" ht="13">
      <c r="A849" s="101" t="str">
        <f ca="1">IFERROR(__xludf.DUMMYFUNCTION("""COMPUTED_VALUE"""),"Основное мероприятие ""Исследования свойств вещества в экстремальном состоянии в обоснование инновационных ядерных энергетических установок""")</f>
        <v>Основное мероприятие "Исследования свойств вещества в экстремальном состоянии в обоснование инновационных ядерных энергетических установок"</v>
      </c>
      <c r="B849" s="101" t="str">
        <f ca="1">IFERROR(__xludf.DUMMYFUNCTION("""COMPUTED_VALUE"""),"индикатор")</f>
        <v>индикатор</v>
      </c>
    </row>
    <row r="850" spans="1:2" ht="13">
      <c r="A850" s="101" t="str">
        <f ca="1">IFERROR(__xludf.DUMMYFUNCTION("""COMPUTED_VALUE"""),"Основное мероприятие ""Разработка технологий двухкомпонентной атомной энергетики на базе реакторов на быстрых нейтронах для создания на их основе конкурентоспособных на мировом рынке ядерных энергокомплексов""")</f>
        <v>Основное мероприятие "Разработка технологий двухкомпонентной атомной энергетики на базе реакторов на быстрых нейтронах для создания на их основе конкурентоспособных на мировом рынке ядерных энергокомплексов"</v>
      </c>
      <c r="B850" s="101" t="str">
        <f ca="1">IFERROR(__xludf.DUMMYFUNCTION("""COMPUTED_VALUE"""),"индикатор")</f>
        <v>индикатор</v>
      </c>
    </row>
    <row r="851" spans="1:2" ht="13">
      <c r="A851" s="101" t="str">
        <f ca="1">IFERROR(__xludf.DUMMYFUNCTION("""COMPUTED_VALUE"""),"Основное мероприятие ""Создание современной экспериментально-стендовой базы двухкомпонентной атомной энергетики и продление срока эксплуатации действующих объектов научно-исследовательской базы атомной энергетики""")</f>
        <v>Основное мероприятие "Создание современной экспериментально-стендовой базы двухкомпонентной атомной энергетики и продление срока эксплуатации действующих объектов научно-исследовательской базы атомной энергетики"</v>
      </c>
      <c r="B851" s="101" t="str">
        <f ca="1">IFERROR(__xludf.DUMMYFUNCTION("""COMPUTED_VALUE"""),"индикатор")</f>
        <v>индикатор</v>
      </c>
    </row>
    <row r="852" spans="1:2" ht="13">
      <c r="A852" s="101" t="str">
        <f ca="1">IFERROR(__xludf.DUMMYFUNCTION("""COMPUTED_VALUE"""),"Основное мероприятие ""Разработка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f>
        <v>Основное мероприятие "Разработка и демонстрация ключевых технологических решений для создания экспериментального жидкосолевого реактора с модулем переработки отработавшего ядерного топлива"</v>
      </c>
      <c r="B852" s="101" t="str">
        <f ca="1">IFERROR(__xludf.DUMMYFUNCTION("""COMPUTED_VALUE"""),"индикатор")</f>
        <v>индикатор</v>
      </c>
    </row>
    <row r="853" spans="1:2" ht="13">
      <c r="A853" s="101" t="str">
        <f ca="1">IFERROR(__xludf.DUMMYFUNCTION("""COMPUTED_VALUE"""),"Основное мероприятие ""Исследования свойств вещества в экстремальном состоянии в обоснование инновационных ядерных энергетических установок""")</f>
        <v>Основное мероприятие "Исследования свойств вещества в экстремальном состоянии в обоснование инновационных ядерных энергетических установок"</v>
      </c>
      <c r="B853" s="101" t="str">
        <f ca="1">IFERROR(__xludf.DUMMYFUNCTION("""COMPUTED_VALUE"""),"индикатор")</f>
        <v>индикатор</v>
      </c>
    </row>
    <row r="854" spans="1:2" ht="13">
      <c r="A854" s="101" t="str">
        <f ca="1">IFERROR(__xludf.DUMMYFUNCTION("""COMPUTED_VALUE"""),"Основное мероприятие ""Создание системы и инфраструктуры разработки и обоснования новых материалов с использованием новых физических принципов""")</f>
        <v>Основное мероприятие "Создание системы и инфраструктуры разработки и обоснования новых материалов с использованием новых физических принципов"</v>
      </c>
      <c r="B854" s="101" t="str">
        <f ca="1">IFERROR(__xludf.DUMMYFUNCTION("""COMPUTED_VALUE"""),"индикатор")</f>
        <v>индикатор</v>
      </c>
    </row>
    <row r="855" spans="1:2" ht="13">
      <c r="A855" s="101" t="str">
        <f ca="1">IFERROR(__xludf.DUMMYFUNCTION("""COMPUTED_VALUE"""),"Основное мероприятие ""Обеспечение доступности услуг электросвязи на территории Российской Федерации""")</f>
        <v>Основное мероприятие "Обеспечение доступности услуг электросвязи на территории Российской Федерации"</v>
      </c>
      <c r="B855" s="101" t="str">
        <f ca="1">IFERROR(__xludf.DUMMYFUNCTION("""COMPUTED_VALUE"""),"индикатор")</f>
        <v>индикатор</v>
      </c>
    </row>
    <row r="856" spans="1:2" ht="13">
      <c r="A856" s="101" t="str">
        <f ca="1">IFERROR(__xludf.DUMMYFUNCTION("""COMPUTED_VALUE"""),"Основное мероприятие ""Расширение использования радиочастотного спектра в гражданских целях""")</f>
        <v>Основное мероприятие "Расширение использования радиочастотного спектра в гражданских целях"</v>
      </c>
      <c r="B856" s="101" t="str">
        <f ca="1">IFERROR(__xludf.DUMMYFUNCTION("""COMPUTED_VALUE"""),"индикатор")</f>
        <v>индикатор</v>
      </c>
    </row>
    <row r="857" spans="1:2" ht="13">
      <c r="A857" s="101" t="str">
        <f ca="1">IFERROR(__xludf.DUMMYFUNCTION("""COMPUTED_VALUE"""),"Основное мероприятие ""Управление развитием информационно-коммуникационной инфраструктуры информационного общества""")</f>
        <v>Основное мероприятие "Управление развитием информационно-коммуникационной инфраструктуры информационного общества"</v>
      </c>
      <c r="B857" s="101" t="str">
        <f ca="1">IFERROR(__xludf.DUMMYFUNCTION("""COMPUTED_VALUE"""),"индикатор")</f>
        <v>индикатор</v>
      </c>
    </row>
    <row r="858" spans="1:2" ht="13">
      <c r="A858" s="101" t="str">
        <f ca="1">IFERROR(__xludf.DUMMYFUNCTION("""COMPUTED_VALUE"""),"Основное мероприятие ""Развитие связи и информационных технологий в целях осуществления подготовки и проведения в Российской Федерации спортивных мероприятий""")</f>
        <v>Основное мероприятие "Развитие связи и информационных технологий в целях осуществления подготовки и проведения в Российской Федерации спортивных мероприятий"</v>
      </c>
      <c r="B858" s="101" t="str">
        <f ca="1">IFERROR(__xludf.DUMMYFUNCTION("""COMPUTED_VALUE"""),"индикатор")</f>
        <v>индикатор</v>
      </c>
    </row>
    <row r="859" spans="1:2" ht="13">
      <c r="A859" s="101" t="str">
        <f ca="1">IFERROR(__xludf.DUMMYFUNCTION("""COMPUTED_VALUE"""),"Основное мероприятие ""Строительство, восстановление, реконструкция, переоборудование объектов телерадиовещания""")</f>
        <v>Основное мероприятие "Строительство, восстановление, реконструкция, переоборудование объектов телерадиовещания"</v>
      </c>
      <c r="B859" s="101" t="str">
        <f ca="1">IFERROR(__xludf.DUMMYFUNCTION("""COMPUTED_VALUE"""),"индикатор")</f>
        <v>индикатор</v>
      </c>
    </row>
    <row r="860" spans="1:2" ht="13">
      <c r="A860" s="101" t="str">
        <f ca="1">IFERROR(__xludf.DUMMYFUNCTION("""COMPUTED_VALUE"""),"Основное мероприятие ""Поддержка печатных средств массовой информации""")</f>
        <v>Основное мероприятие "Поддержка печатных средств массовой информации"</v>
      </c>
      <c r="B860" s="101" t="str">
        <f ca="1">IFERROR(__xludf.DUMMYFUNCTION("""COMPUTED_VALUE"""),"индикатор")</f>
        <v>индикатор</v>
      </c>
    </row>
    <row r="861" spans="1:2" ht="13">
      <c r="A861" s="101" t="str">
        <f ca="1">IFERROR(__xludf.DUMMYFUNCTION("""COMPUTED_VALUE"""),"Основное мероприятие ""Поддержка создания и распространения телерадиопрограмм и электронных средств массовой информации""")</f>
        <v>Основное мероприятие "Поддержка создания и распространения телерадиопрограмм и электронных средств массовой информации"</v>
      </c>
      <c r="B861" s="101" t="str">
        <f ca="1">IFERROR(__xludf.DUMMYFUNCTION("""COMPUTED_VALUE"""),"индикатор")</f>
        <v>индикатор</v>
      </c>
    </row>
    <row r="862" spans="1:2" ht="13">
      <c r="A862" s="101" t="str">
        <f ca="1">IFERROR(__xludf.DUMMYFUNCTION("""COMPUTED_VALUE"""),"Основное мероприятие ""Поддержка социально значимых проектов в медиасреде""")</f>
        <v>Основное мероприятие "Поддержка социально значимых проектов в медиасреде"</v>
      </c>
      <c r="B862" s="101" t="str">
        <f ca="1">IFERROR(__xludf.DUMMYFUNCTION("""COMPUTED_VALUE"""),"индикатор")</f>
        <v>индикатор</v>
      </c>
    </row>
    <row r="863" spans="1:2" ht="13">
      <c r="A863" s="101" t="str">
        <f ca="1">IFERROR(__xludf.DUMMYFUNCTION("""COMPUTED_VALUE"""),"Основное мероприятие ""Участие России в международном информационном обмене""")</f>
        <v>Основное мероприятие "Участие России в международном информационном обмене"</v>
      </c>
      <c r="B863" s="101" t="str">
        <f ca="1">IFERROR(__xludf.DUMMYFUNCTION("""COMPUTED_VALUE"""),"индикатор")</f>
        <v>индикатор</v>
      </c>
    </row>
    <row r="864" spans="1:2" ht="13">
      <c r="A864" s="101" t="str">
        <f ca="1">IFERROR(__xludf.DUMMYFUNCTION("""COMPUTED_VALUE"""),"Основное мероприятие ""Стимулирование профессиональной деятельности в области средств массовой информации""")</f>
        <v>Основное мероприятие "Стимулирование профессиональной деятельности в области средств массовой информации"</v>
      </c>
      <c r="B864" s="101" t="str">
        <f ca="1">IFERROR(__xludf.DUMMYFUNCTION("""COMPUTED_VALUE"""),"индикатор")</f>
        <v>индикатор</v>
      </c>
    </row>
    <row r="865" spans="1:2" ht="13">
      <c r="A865" s="101" t="str">
        <f ca="1">IFERROR(__xludf.DUMMYFUNCTION("""COMPUTED_VALUE"""),"Основное мероприятие ""Ведение федеральных информационных фондов, баз и банков данных""")</f>
        <v>Основное мероприятие "Ведение федеральных информационных фондов, баз и банков данных"</v>
      </c>
      <c r="B865" s="101" t="str">
        <f ca="1">IFERROR(__xludf.DUMMYFUNCTION("""COMPUTED_VALUE"""),"индикатор")</f>
        <v>индикатор</v>
      </c>
    </row>
    <row r="866" spans="1:2" ht="13">
      <c r="A866" s="101" t="str">
        <f ca="1">IFERROR(__xludf.DUMMYFUNCTION("""COMPUTED_VALUE"""),"Основное мероприятие ""Управление развитием информационной среды""")</f>
        <v>Основное мероприятие "Управление развитием информационной среды"</v>
      </c>
      <c r="B866" s="101" t="str">
        <f ca="1">IFERROR(__xludf.DUMMYFUNCTION("""COMPUTED_VALUE"""),"индикатор")</f>
        <v>индикатор</v>
      </c>
    </row>
    <row r="867" spans="1:2" ht="13">
      <c r="A867" s="101" t="str">
        <f ca="1">IFERROR(__xludf.DUMMYFUNCTION("""COMPUTED_VALUE"""),"Основное мероприятие ""Контроль и надзор в сфере связи, информационных технологий и массовых коммуникаций""")</f>
        <v>Основное мероприятие "Контроль и надзор в сфере связи, информационных технологий и массовых коммуникаций"</v>
      </c>
      <c r="B867" s="101" t="str">
        <f ca="1">IFERROR(__xludf.DUMMYFUNCTION("""COMPUTED_VALUE"""),"индикатор")</f>
        <v>индикатор</v>
      </c>
    </row>
    <row r="868" spans="1:2" ht="13">
      <c r="A868" s="101" t="str">
        <f ca="1">IFERROR(__xludf.DUMMYFUNCTION("""COMPUTED_VALUE"""),"Основное мероприятие ""Организация деятельности радиочастотной службы""")</f>
        <v>Основное мероприятие "Организация деятельности радиочастотной службы"</v>
      </c>
      <c r="B868" s="101" t="str">
        <f ca="1">IFERROR(__xludf.DUMMYFUNCTION("""COMPUTED_VALUE"""),"индикатор")</f>
        <v>индикатор</v>
      </c>
    </row>
    <row r="869" spans="1:2" ht="13">
      <c r="A869" s="101" t="str">
        <f ca="1">IFERROR(__xludf.DUMMYFUNCTION("""COMPUTED_VALUE"""),"Основное мероприятие ""Развитие сети станций радиоконтроля""")</f>
        <v>Основное мероприятие "Развитие сети станций радиоконтроля"</v>
      </c>
      <c r="B869" s="101" t="str">
        <f ca="1">IFERROR(__xludf.DUMMYFUNCTION("""COMPUTED_VALUE"""),"индикатор")</f>
        <v>индикатор</v>
      </c>
    </row>
    <row r="870" spans="1:2" ht="13">
      <c r="A870" s="101" t="str">
        <f ca="1">IFERROR(__xludf.DUMMYFUNCTION("""COMPUTED_VALUE"""),"Основное мероприятие ""Предупреждение информационно-технологических угроз национальным интересам России""")</f>
        <v>Основное мероприятие "Предупреждение информационно-технологических угроз национальным интересам России"</v>
      </c>
      <c r="B870" s="101" t="str">
        <f ca="1">IFERROR(__xludf.DUMMYFUNCTION("""COMPUTED_VALUE"""),"индикатор")</f>
        <v>индикатор</v>
      </c>
    </row>
    <row r="871" spans="1:2" ht="13">
      <c r="A871" s="101" t="str">
        <f ca="1">IFERROR(__xludf.DUMMYFUNCTION("""COMPUTED_VALUE"""),"Основное мероприятие ""Информационно-техническое сопровождение, модернизация, развитие программно-технических средств подсистемы мониторинга средств массовой информации в специальных целях""")</f>
        <v>Основное мероприятие "Информационно-техническое сопровождение, модернизация, развитие программно-технических средств подсистемы мониторинга средств массовой информации в специальных целях"</v>
      </c>
      <c r="B871" s="101" t="str">
        <f ca="1">IFERROR(__xludf.DUMMYFUNCTION("""COMPUTED_VALUE"""),"индикатор")</f>
        <v>индикатор</v>
      </c>
    </row>
    <row r="872" spans="1:2" ht="13">
      <c r="A872" s="101" t="str">
        <f ca="1">IFERROR(__xludf.DUMMYFUNCTION("""COMPUTED_VALUE"""),"Основное мероприятие ""Противодействие терроризму, экстремизму, насилию""")</f>
        <v>Основное мероприятие "Противодействие терроризму, экстремизму, насилию"</v>
      </c>
      <c r="B872" s="101" t="str">
        <f ca="1">IFERROR(__xludf.DUMMYFUNCTION("""COMPUTED_VALUE"""),"индикатор")</f>
        <v>индикатор</v>
      </c>
    </row>
    <row r="873" spans="1:2" ht="13">
      <c r="A873" s="101" t="str">
        <f ca="1">IFERROR(__xludf.DUMMYFUNCTION("""COMPUTED_VALUE"""),"Основное мероприятие ""Управление развитием информационного общества""")</f>
        <v>Основное мероприятие "Управление развитием информационного общества"</v>
      </c>
      <c r="B873" s="101" t="str">
        <f ca="1">IFERROR(__xludf.DUMMYFUNCTION("""COMPUTED_VALUE"""),"индикатор")</f>
        <v>индикатор</v>
      </c>
    </row>
    <row r="874" spans="1:2" ht="13">
      <c r="A874" s="101" t="str">
        <f ca="1">IFERROR(__xludf.DUMMYFUNCTION("""COMPUTED_VALUE"""),"Основное мероприятие ""Развитие и эксплуатация электронного правительства""")</f>
        <v>Основное мероприятие "Развитие и эксплуатация электронного правительства"</v>
      </c>
      <c r="B874" s="101" t="str">
        <f ca="1">IFERROR(__xludf.DUMMYFUNCTION("""COMPUTED_VALUE"""),"индикатор")</f>
        <v>индикатор</v>
      </c>
    </row>
    <row r="875" spans="1:2" ht="13">
      <c r="A875" s="101" t="str">
        <f ca="1">IFERROR(__xludf.DUMMYFUNCTION("""COMPUTED_VALUE"""),"Основное мероприятие ""Создание и внедрение современных информационных технологий в сфере государственного управления""")</f>
        <v>Основное мероприятие "Создание и внедрение современных информационных технологий в сфере государственного управления"</v>
      </c>
      <c r="B875" s="101" t="str">
        <f ca="1">IFERROR(__xludf.DUMMYFUNCTION("""COMPUTED_VALUE"""),"индикатор")</f>
        <v>индикатор</v>
      </c>
    </row>
    <row r="876" spans="1:2" ht="13">
      <c r="A876" s="101" t="str">
        <f ca="1">IFERROR(__xludf.DUMMYFUNCTION("""COMPUTED_VALUE"""),"Основное мероприятие ""Создание и развитие официальных сайтов высших должностных лиц и органов управления Российской Федерации""")</f>
        <v>Основное мероприятие "Создание и развитие официальных сайтов высших должностных лиц и органов управления Российской Федерации"</v>
      </c>
      <c r="B876" s="101" t="str">
        <f ca="1">IFERROR(__xludf.DUMMYFUNCTION("""COMPUTED_VALUE"""),"индикатор")</f>
        <v>индикатор</v>
      </c>
    </row>
    <row r="877" spans="1:2" ht="13">
      <c r="A877" s="101" t="str">
        <f ca="1">IFERROR(__xludf.DUMMYFUNCTION("""COMPUTED_VALUE"""),"Основное мероприятие ""Координация мероприятий по использованию информационно-коммуникационных технологий в деятельности государственных органов""")</f>
        <v>Основное мероприятие "Координация мероприятий по использованию информационно-коммуникационных технологий в деятельности государственных органов"</v>
      </c>
      <c r="B877" s="101" t="str">
        <f ca="1">IFERROR(__xludf.DUMMYFUNCTION("""COMPUTED_VALUE"""),"индикатор")</f>
        <v>индикатор</v>
      </c>
    </row>
    <row r="878" spans="1:2" ht="13">
      <c r="A878" s="101" t="str">
        <f ca="1">IFERROR(__xludf.DUMMYFUNCTION("""COMPUTED_VALUE"""),"Основное мероприятие ""Поддержка региональных проектов в сфере информационных технологий""")</f>
        <v>Основное мероприятие "Поддержка региональных проектов в сфере информационных технологий"</v>
      </c>
      <c r="B878" s="101" t="str">
        <f ca="1">IFERROR(__xludf.DUMMYFUNCTION("""COMPUTED_VALUE"""),"индикатор")</f>
        <v>индикатор</v>
      </c>
    </row>
    <row r="879" spans="1:2" ht="13">
      <c r="A879" s="101" t="str">
        <f ca="1">IFERROR(__xludf.DUMMYFUNCTION("""COMPUTED_VALUE"""),"Основное мероприятие ""Информатизация в сфере оказания государственных услуг и контроля качества их предоставления, осуществления государственных функций и информационной открытости органов власти""")</f>
        <v>Основное мероприятие "Информатизация в сфере оказания государственных услуг и контроля качества их предоставления, осуществления государственных функций и информационной открытости органов власти"</v>
      </c>
      <c r="B879" s="101" t="str">
        <f ca="1">IFERROR(__xludf.DUMMYFUNCTION("""COMPUTED_VALUE"""),"индикатор")</f>
        <v>индикатор</v>
      </c>
    </row>
    <row r="880" spans="1:2" ht="13">
      <c r="A880" s="101" t="str">
        <f ca="1">IFERROR(__xludf.DUMMYFUNCTION("""COMPUTED_VALUE"""),"Основное мероприятие ""Информационно-технологическое и информационно-аналитическое обеспечение деятельности отдельных органов государственной власти""")</f>
        <v>Основное мероприятие "Информационно-технологическое и информационно-аналитическое обеспечение деятельности отдельных органов государственной власти"</v>
      </c>
      <c r="B880" s="101" t="str">
        <f ca="1">IFERROR(__xludf.DUMMYFUNCTION("""COMPUTED_VALUE"""),"индикатор")</f>
        <v>индикатор</v>
      </c>
    </row>
    <row r="881" spans="1:2" ht="13">
      <c r="A881" s="101" t="str">
        <f ca="1">IFERROR(__xludf.DUMMYFUNCTION("""COMPUTED_VALUE"""),"Основное мероприятие ""Развитие сервисов на основе информационных технологий в области медицины, здравоохранения, социального обеспечения, образования, науки и культуры""")</f>
        <v>Основное мероприятие "Развитие сервисов на основе информационных технологий в области медицины, здравоохранения, социального обеспечения, образования, науки и культуры"</v>
      </c>
      <c r="B881" s="101" t="str">
        <f ca="1">IFERROR(__xludf.DUMMYFUNCTION("""COMPUTED_VALUE"""),"индикатор")</f>
        <v>индикатор</v>
      </c>
    </row>
    <row r="882" spans="1:2" ht="13">
      <c r="A882" s="101" t="str">
        <f ca="1">IFERROR(__xludf.DUMMYFUNCTION("""COMPUTED_VALUE"""),"Основное мероприятие ""Создание, развитие и функционирование государственной системы миграционного и регистрационного учета, а также изготовления, оформления и контроля обращения документов, удостоверяющих личность""")</f>
        <v>Основное мероприятие "Создание, развитие и функционирование государственной системы миграционного и регистрационного учета, а также изготовления, оформления и контроля обращения документов, удостоверяющих личность"</v>
      </c>
      <c r="B882" s="101" t="str">
        <f ca="1">IFERROR(__xludf.DUMMYFUNCTION("""COMPUTED_VALUE"""),"индикатор")</f>
        <v>индикатор</v>
      </c>
    </row>
    <row r="883" spans="1:2" ht="13">
      <c r="A883" s="101" t="str">
        <f ca="1">IFERROR(__xludf.DUMMYFUNCTION("""COMPUTED_VALUE"""),"Основное мероприятие ""Сохранение и развитие архивных информационных ресурсов""")</f>
        <v>Основное мероприятие "Сохранение и развитие архивных информационных ресурсов"</v>
      </c>
      <c r="B883" s="101" t="str">
        <f ca="1">IFERROR(__xludf.DUMMYFUNCTION("""COMPUTED_VALUE"""),"индикатор")</f>
        <v>индикатор</v>
      </c>
    </row>
    <row r="884" spans="1:2" ht="13">
      <c r="A884" s="101" t="str">
        <f ca="1">IFERROR(__xludf.DUMMYFUNCTION("""COMPUTED_VALUE"""),"Основное мероприятие ""Реализация комплексных проектов в сфере информационно-коммуникационных технологий на территории Российской Федерации""")</f>
        <v>Основное мероприятие "Реализация комплексных проектов в сфере информационно-коммуникационных технологий на территории Российской Федерации"</v>
      </c>
      <c r="B884" s="101" t="str">
        <f ca="1">IFERROR(__xludf.DUMMYFUNCTION("""COMPUTED_VALUE"""),"индикатор")</f>
        <v>индикатор</v>
      </c>
    </row>
    <row r="885" spans="1:2" ht="13">
      <c r="A885" s="101" t="str">
        <f ca="1">IFERROR(__xludf.DUMMYFUNCTION("""COMPUTED_VALUE"""),"Ведомственная целевая программа ""Обеспечение доступности услуг железнодорожного транспорта""")</f>
        <v>Ведомственная целевая программа "Обеспечение доступности услуг железнодорожного транспорта"</v>
      </c>
      <c r="B885" s="101" t="str">
        <f ca="1">IFERROR(__xludf.DUMMYFUNCTION("""COMPUTED_VALUE"""),"индикатор")</f>
        <v>индикатор</v>
      </c>
    </row>
    <row r="886" spans="1:2" ht="13">
      <c r="A886" s="101" t="str">
        <f ca="1">IFERROR(__xludf.DUMMYFUNCTION("""COMPUTED_VALUE"""),"Основное мероприятие ""Управление реализацией мероприятий в сфере железнодорожного транспорта""")</f>
        <v>Основное мероприятие "Управление реализацией мероприятий в сфере железнодорожного транспорта"</v>
      </c>
      <c r="B886" s="101" t="str">
        <f ca="1">IFERROR(__xludf.DUMMYFUNCTION("""COMPUTED_VALUE"""),"индикатор")</f>
        <v>индикатор</v>
      </c>
    </row>
    <row r="887" spans="1:2" ht="13">
      <c r="A887" s="101" t="str">
        <f ca="1">IFERROR(__xludf.DUMMYFUNCTION("""COMPUTED_VALUE"""),"Ведомственный проект ""Развитие инфраструктуры железнодорожного транспорта""")</f>
        <v>Ведомственный проект "Развитие инфраструктуры железнодорожного транспорта"</v>
      </c>
      <c r="B887" s="101" t="str">
        <f ca="1">IFERROR(__xludf.DUMMYFUNCTION("""COMPUTED_VALUE"""),"индикатор")</f>
        <v>индикатор</v>
      </c>
    </row>
    <row r="888" spans="1:2" ht="13">
      <c r="A888" s="101" t="str">
        <f ca="1">IFERROR(__xludf.DUMMYFUNCTION("""COMPUTED_VALUE"""),"Ведомственная целевая программа ""Капитальный ремонт, ремонт и содержание автомобильных дорог общего пользования федерального значения""")</f>
        <v>Ведомственная целевая программа "Капитальный ремонт, ремонт и содержание автомобильных дорог общего пользования федерального значения"</v>
      </c>
      <c r="B888" s="101" t="str">
        <f ca="1">IFERROR(__xludf.DUMMYFUNCTION("""COMPUTED_VALUE"""),"индикатор")</f>
        <v>индикатор</v>
      </c>
    </row>
    <row r="889" spans="1:2" ht="13">
      <c r="A889" s="101" t="str">
        <f ca="1">IFERROR(__xludf.DUMMYFUNCTION("""COMPUTED_VALUE"""),"Основное мероприятие ""Управление реализацией мероприятий в сфере дорожного хозяйства""")</f>
        <v>Основное мероприятие "Управление реализацией мероприятий в сфере дорожного хозяйства"</v>
      </c>
      <c r="B889" s="101" t="str">
        <f ca="1">IFERROR(__xludf.DUMMYFUNCTION("""COMPUTED_VALUE"""),"индикатор")</f>
        <v>индикатор</v>
      </c>
    </row>
    <row r="890" spans="1:2" ht="13">
      <c r="A890" s="101" t="str">
        <f ca="1">IFERROR(__xludf.DUMMYFUNCTION("""COMPUTED_VALUE"""),"Ведомственная целевая программа ""Содействие развитию автомобильных дорог регионального, межмуниципального и местного значения""")</f>
        <v>Ведомственная целевая программа "Содействие развитию автомобильных дорог регионального, межмуниципального и местного значения"</v>
      </c>
      <c r="B890" s="101" t="str">
        <f ca="1">IFERROR(__xludf.DUMMYFUNCTION("""COMPUTED_VALUE"""),"индикатор")</f>
        <v>индикатор</v>
      </c>
    </row>
    <row r="891" spans="1:2" ht="13">
      <c r="A891" s="101" t="str">
        <f ca="1">IFERROR(__xludf.DUMMYFUNCTION("""COMPUTED_VALUE"""),"Ведомственная целевая программа ""Доверительное управление федеральными автомобильными дорогами общего пользования Государственной компанией ""Российские автомобильные дороги""")</f>
        <v>Ведомственная целевая программа "Доверительное управление федеральными автомобильными дорогами общего пользования Государственной компанией "Российские автомобильные дороги"</v>
      </c>
      <c r="B891" s="101" t="str">
        <f ca="1">IFERROR(__xludf.DUMMYFUNCTION("""COMPUTED_VALUE"""),"индикатор")</f>
        <v>индикатор</v>
      </c>
    </row>
    <row r="892" spans="1:2" ht="13">
      <c r="A892" s="101" t="str">
        <f ca="1">IFERROR(__xludf.DUMMYFUNCTION("""COMPUTED_VALUE"""),"Ведомственная целевая программа ""Организационное, информационное и научное обеспечение реализации подпрограммы ""Дорожное хозяйство""")</f>
        <v>Ведомственная целевая программа "Организационное, информационное и научное обеспечение реализации подпрограммы "Дорожное хозяйство"</v>
      </c>
      <c r="B892" s="101" t="str">
        <f ca="1">IFERROR(__xludf.DUMMYFUNCTION("""COMPUTED_VALUE"""),"индикатор")</f>
        <v>индикатор</v>
      </c>
    </row>
    <row r="893" spans="1:2" ht="13">
      <c r="A893" s="101" t="str">
        <f ca="1">IFERROR(__xludf.DUMMYFUNCTION("""COMPUTED_VALUE"""),"Ведомственный проект ""Развитие сети федеральных автомобильных дорог общего пользования""")</f>
        <v>Ведомственный проект "Развитие сети федеральных автомобильных дорог общего пользования"</v>
      </c>
      <c r="B893" s="101" t="str">
        <f ca="1">IFERROR(__xludf.DUMMYFUNCTION("""COMPUTED_VALUE"""),"индикатор")</f>
        <v>индикатор</v>
      </c>
    </row>
    <row r="894" spans="1:2" ht="13">
      <c r="A894" s="101" t="str">
        <f ca="1">IFERROR(__xludf.DUMMYFUNCTION("""COMPUTED_VALUE"""),"Основное мероприятие ""Содействие повышению доступности воздушных перевозок населения, в том числе в части развития региональных и внутрирегиональных перевозок""")</f>
        <v>Основное мероприятие "Содействие повышению доступности воздушных перевозок населения, в том числе в части развития региональных и внутрирегиональных перевозок"</v>
      </c>
      <c r="B894" s="101" t="str">
        <f ca="1">IFERROR(__xludf.DUMMYFUNCTION("""COMPUTED_VALUE"""),"индикатор")</f>
        <v>индикатор</v>
      </c>
    </row>
    <row r="895" spans="1:2" ht="13">
      <c r="A895" s="101" t="str">
        <f ca="1">IFERROR(__xludf.DUMMYFUNCTION("""COMPUTED_VALUE"""),"Ведомственная целевая программа ""Сохранение (развитие) сети региональных и местных аэропортов с малой интенсивностью полетов, расположенных в районах Арктики, Дальнего Востока, Крайнего Севера и приравненных к ним местностях""")</f>
        <v>Ведомственная целевая программа "Сохранение (развитие) сети региональных и местных аэропортов с малой интенсивностью полетов, расположенных в районах Арктики, Дальнего Востока, Крайнего Севера и приравненных к ним местностях"</v>
      </c>
      <c r="B895" s="101" t="str">
        <f ca="1">IFERROR(__xludf.DUMMYFUNCTION("""COMPUTED_VALUE"""),"индикатор")</f>
        <v>индикатор</v>
      </c>
    </row>
    <row r="896" spans="1:2" ht="13">
      <c r="A896" s="101" t="str">
        <f ca="1">IFERROR(__xludf.DUMMYFUNCTION("""COMPUTED_VALUE"""),"Ведомственная целевая программа ""Обеспечение охвата территории Российской Федерации деятельностью специализированных поисково- и аварийно-спасательных служб на воздушном транспорте""")</f>
        <v>Ведомственная целевая программа "Обеспечение охвата территории Российской Федерации деятельностью специализированных поисково- и аварийно-спасательных служб на воздушном транспорте"</v>
      </c>
      <c r="B896" s="101" t="str">
        <f ca="1">IFERROR(__xludf.DUMMYFUNCTION("""COMPUTED_VALUE"""),"индикатор")</f>
        <v>индикатор</v>
      </c>
    </row>
    <row r="897" spans="1:2" ht="13">
      <c r="A897" s="101" t="str">
        <f ca="1">IFERROR(__xludf.DUMMYFUNCTION("""COMPUTED_VALUE"""),"Ведомственная целевая программа ""Обеспечение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Р"&amp;"оссийской Федерации от платы за них""")</f>
        <v>Ведомственная целевая программа "Обеспечение предоставления аэронавигационного обслуживания и услуг по аэропортовому и наземному обеспечению полетов воздушных судов пользователей воздушного пространства, освобожденных в соответствии с законодательством Российской Федерации от платы за них"</v>
      </c>
      <c r="B897" s="101" t="str">
        <f ca="1">IFERROR(__xludf.DUMMYFUNCTION("""COMPUTED_VALUE"""),"индикатор")</f>
        <v>индикатор</v>
      </c>
    </row>
    <row r="898" spans="1:2" ht="13">
      <c r="A898" s="101" t="str">
        <f ca="1">IFERROR(__xludf.DUMMYFUNCTION("""COMPUTED_VALUE"""),"Основное мероприятие ""Управление реализацией мероприятий в сфере воздушного транспорта""")</f>
        <v>Основное мероприятие "Управление реализацией мероприятий в сфере воздушного транспорта"</v>
      </c>
      <c r="B898" s="101" t="str">
        <f ca="1">IFERROR(__xludf.DUMMYFUNCTION("""COMPUTED_VALUE"""),"индикатор")</f>
        <v>индикатор</v>
      </c>
    </row>
    <row r="899" spans="1:2" ht="13">
      <c r="A899" s="101" t="str">
        <f ca="1">IFERROR(__xludf.DUMMYFUNCTION("""COMPUTED_VALUE"""),"Ведомственная целевая программа ""Организационное, информационное и научное обеспечение реализации подпрограммы ""Гражданская авиация и аэронавигационное обслуживание""")</f>
        <v>Ведомственная целевая программа "Организационное, информационное и научное обеспечение реализации подпрограммы "Гражданская авиация и аэронавигационное обслуживание"</v>
      </c>
      <c r="B899" s="101" t="str">
        <f ca="1">IFERROR(__xludf.DUMMYFUNCTION("""COMPUTED_VALUE"""),"индикатор")</f>
        <v>индикатор</v>
      </c>
    </row>
    <row r="900" spans="1:2" ht="13">
      <c r="A900" s="101" t="str">
        <f ca="1">IFERROR(__xludf.DUMMYFUNCTION("""COMPUTED_VALUE"""),"Ведомственный проект ""Развитие инфраструктуры воздушного транспорта""")</f>
        <v>Ведомственный проект "Развитие инфраструктуры воздушного транспорта"</v>
      </c>
      <c r="B900" s="101" t="str">
        <f ca="1">IFERROR(__xludf.DUMMYFUNCTION("""COMPUTED_VALUE"""),"индикатор")</f>
        <v>индикатор</v>
      </c>
    </row>
    <row r="901" spans="1:2" ht="13">
      <c r="A901" s="101" t="str">
        <f ca="1">IFERROR(__xludf.DUMMYFUNCTION("""COMPUTED_VALUE"""),"Ведомственная целевая программа ""Поисковое и аварийно-спасательное обеспечение судоходства""")</f>
        <v>Ведомственная целевая программа "Поисковое и аварийно-спасательное обеспечение судоходства"</v>
      </c>
      <c r="B901" s="101" t="str">
        <f ca="1">IFERROR(__xludf.DUMMYFUNCTION("""COMPUTED_VALUE"""),"индикатор")</f>
        <v>индикатор</v>
      </c>
    </row>
    <row r="902" spans="1:2" ht="13">
      <c r="A902" s="101" t="str">
        <f ca="1">IFERROR(__xludf.DUMMYFUNCTION("""COMPUTED_VALUE"""),"Ведомственная целевая программа ""Навигационно-гидрографическое обеспечение судоходства на трассах Северного морского пути""")</f>
        <v>Ведомственная целевая программа "Навигационно-гидрографическое обеспечение судоходства на трассах Северного морского пути"</v>
      </c>
      <c r="B902" s="101" t="str">
        <f ca="1">IFERROR(__xludf.DUMMYFUNCTION("""COMPUTED_VALUE"""),"индикатор")</f>
        <v>индикатор</v>
      </c>
    </row>
    <row r="903" spans="1:2" ht="13">
      <c r="A903" s="101" t="str">
        <f ca="1">IFERROR(__xludf.DUMMYFUNCTION("""COMPUTED_VALUE"""),"Ведомственная целевая программа ""Обеспечение эксплуатации внутренних водных путей и гидротехнических сооружений""")</f>
        <v>Ведомственная целевая программа "Обеспечение эксплуатации внутренних водных путей и гидротехнических сооружений"</v>
      </c>
      <c r="B903" s="101" t="str">
        <f ca="1">IFERROR(__xludf.DUMMYFUNCTION("""COMPUTED_VALUE"""),"индикатор")</f>
        <v>индикатор</v>
      </c>
    </row>
    <row r="904" spans="1:2" ht="13">
      <c r="A904" s="101" t="str">
        <f ca="1">IFERROR(__xludf.DUMMYFUNCTION("""COMPUTED_VALUE"""),"Основное мероприятие ""Управление реализацией мероприятий в сфере водного транспорта""")</f>
        <v>Основное мероприятие "Управление реализацией мероприятий в сфере водного транспорта"</v>
      </c>
      <c r="B904" s="101" t="str">
        <f ca="1">IFERROR(__xludf.DUMMYFUNCTION("""COMPUTED_VALUE"""),"индикатор")</f>
        <v>индикатор</v>
      </c>
    </row>
    <row r="905" spans="1:2" ht="13">
      <c r="A905" s="101" t="str">
        <f ca="1">IFERROR(__xludf.DUMMYFUNCTION("""COMPUTED_VALUE"""),"Ведомственная целевая программа ""Организационное, информационное и научное обеспечение реализации подпрограммы ""Морской и речной транспорт""")</f>
        <v>Ведомственная целевая программа "Организационное, информационное и научное обеспечение реализации подпрограммы "Морской и речной транспорт"</v>
      </c>
      <c r="B905" s="101" t="str">
        <f ca="1">IFERROR(__xludf.DUMMYFUNCTION("""COMPUTED_VALUE"""),"индикатор")</f>
        <v>индикатор</v>
      </c>
    </row>
    <row r="906" spans="1:2" ht="13">
      <c r="A906" s="101" t="str">
        <f ca="1">IFERROR(__xludf.DUMMYFUNCTION("""COMPUTED_VALUE"""),"Ведомственный проект ""Развитие инфраструктуры морского транспорта""")</f>
        <v>Ведомственный проект "Развитие инфраструктуры морского транспорта"</v>
      </c>
      <c r="B906" s="101" t="str">
        <f ca="1">IFERROR(__xludf.DUMMYFUNCTION("""COMPUTED_VALUE"""),"индикатор")</f>
        <v>индикатор</v>
      </c>
    </row>
    <row r="907" spans="1:2" ht="13">
      <c r="A907" s="101" t="str">
        <f ca="1">IFERROR(__xludf.DUMMYFUNCTION("""COMPUTED_VALUE"""),"Ведомственный проект ""Развитие инфраструктуры внутреннего водного транспорта""")</f>
        <v>Ведомственный проект "Развитие инфраструктуры внутреннего водного транспорта"</v>
      </c>
      <c r="B907" s="101" t="str">
        <f ca="1">IFERROR(__xludf.DUMMYFUNCTION("""COMPUTED_VALUE"""),"индикатор")</f>
        <v>индикатор</v>
      </c>
    </row>
    <row r="908" spans="1:2" ht="13">
      <c r="A908" s="101" t="str">
        <f ca="1">IFERROR(__xludf.DUMMYFUNCTION("""COMPUTED_VALUE"""),"Основное мероприятие ""Управление реализацией мероприятий в сфере контроля и надзора на транспорте""")</f>
        <v>Основное мероприятие "Управление реализацией мероприятий в сфере контроля и надзора на транспорте"</v>
      </c>
      <c r="B908" s="101" t="str">
        <f ca="1">IFERROR(__xludf.DUMMYFUNCTION("""COMPUTED_VALUE"""),"индикатор")</f>
        <v>индикатор</v>
      </c>
    </row>
    <row r="909" spans="1:2" ht="13">
      <c r="A909" s="101" t="str">
        <f ca="1">IFERROR(__xludf.DUMMYFUNCTION("""COMPUTED_VALUE"""),"Ведомственная целевая программа ""Организационное, информационное и научное обеспечение реализации подпрограммы ""Надзор в сфере транспорта""")</f>
        <v>Ведомственная целевая программа "Организационное, информационное и научное обеспечение реализации подпрограммы "Надзор в сфере транспорта"</v>
      </c>
      <c r="B909" s="101" t="str">
        <f ca="1">IFERROR(__xludf.DUMMYFUNCTION("""COMPUTED_VALUE"""),"индикатор")</f>
        <v>индикатор</v>
      </c>
    </row>
    <row r="910" spans="1:2" ht="13">
      <c r="A910" s="101" t="str">
        <f ca="1">IFERROR(__xludf.DUMMYFUNCTION("""COMPUTED_VALUE"""),"Ведомственный проект ""Совершенствование контрольно-надзорной деятельности в сфере транспорта в Российской Федерации""")</f>
        <v>Ведомственный проект "Совершенствование контрольно-надзорной деятельности в сфере транспорта в Российской Федерации"</v>
      </c>
      <c r="B910" s="101" t="str">
        <f ca="1">IFERROR(__xludf.DUMMYFUNCTION("""COMPUTED_VALUE"""),"индикатор")</f>
        <v>индикатор</v>
      </c>
    </row>
    <row r="911" spans="1:2" ht="13">
      <c r="A911" s="101" t="str">
        <f ca="1">IFERROR(__xludf.DUMMYFUNCTION("""COMPUTED_VALUE"""),"Основное мероприятие ""Управление реализацией государственной программы""")</f>
        <v>Основное мероприятие "Управление реализацией государственной программы"</v>
      </c>
      <c r="B911" s="101" t="str">
        <f ca="1">IFERROR(__xludf.DUMMYFUNCTION("""COMPUTED_VALUE"""),"индикатор")</f>
        <v>индикатор</v>
      </c>
    </row>
    <row r="912" spans="1:2" ht="13">
      <c r="A912" s="101" t="str">
        <f ca="1">IFERROR(__xludf.DUMMYFUNCTION("""COMPUTED_VALUE"""),"Ведомственная целевая программа ""Цифровая платформа транспортного комплекса Российской Федерации""")</f>
        <v>Ведомственная целевая программа "Цифровая платформа транспортного комплекса Российской Федерации"</v>
      </c>
      <c r="B912" s="101" t="str">
        <f ca="1">IFERROR(__xludf.DUMMYFUNCTION("""COMPUTED_VALUE"""),"индикатор")</f>
        <v>индикатор</v>
      </c>
    </row>
    <row r="913" spans="1:2" ht="13">
      <c r="A913" s="101" t="str">
        <f ca="1">IFERROR(__xludf.DUMMYFUNCTION("""COMPUTED_VALUE"""),"Ведомственная целевая программа ""Организационное, информационное и научное обеспечение реализации государственной программы Российской Федерации ""Развитие транспортной системы""")</f>
        <v>Ведомственная целевая программа "Организационное, информационное и научное обеспечение реализации государственной программы Российской Федерации "Развитие транспортной системы"</v>
      </c>
      <c r="B913" s="101" t="str">
        <f ca="1">IFERROR(__xludf.DUMMYFUNCTION("""COMPUTED_VALUE"""),"индикатор")</f>
        <v>индикатор</v>
      </c>
    </row>
    <row r="914" spans="1:2" ht="13">
      <c r="A914" s="101" t="str">
        <f ca="1">IFERROR(__xludf.DUMMYFUNCTION("""COMPUTED_VALUE"""),"Ведомственный проект ""Техническая модернизация агропромышленного комплекса""")</f>
        <v>Ведомственный проект "Техническая модернизация агропромышленного комплекса"</v>
      </c>
      <c r="B914" s="101" t="str">
        <f ca="1">IFERROR(__xludf.DUMMYFUNCTION("""COMPUTED_VALUE"""),"индикатор")</f>
        <v>индикатор</v>
      </c>
    </row>
    <row r="915" spans="1:2" ht="13">
      <c r="A915" s="101" t="str">
        <f ca="1">IFERROR(__xludf.DUMMYFUNCTION("""COMPUTED_VALUE"""),"Ведомственный проект ""Стимулирование инвестиционной деятельности в агропромышленном комплексе""")</f>
        <v>Ведомственный проект "Стимулирование инвестиционной деятельности в агропромышленном комплексе"</v>
      </c>
      <c r="B915" s="101" t="str">
        <f ca="1">IFERROR(__xludf.DUMMYFUNCTION("""COMPUTED_VALUE"""),"индикатор")</f>
        <v>индикатор</v>
      </c>
    </row>
    <row r="916" spans="1:2" ht="13">
      <c r="A916" s="101" t="str">
        <f ca="1">IFERROR(__xludf.DUMMYFUNCTION("""COMPUTED_VALUE"""),"Ведомственный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f>
        <v>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v>
      </c>
      <c r="B916" s="101" t="str">
        <f ca="1">IFERROR(__xludf.DUMMYFUNCTION("""COMPUTED_VALUE"""),"индикатор")</f>
        <v>индикатор</v>
      </c>
    </row>
    <row r="917" spans="1:2" ht="13">
      <c r="A917" s="101" t="str">
        <f ca="1">IFERROR(__xludf.DUMMYFUNCTION("""COMPUTED_VALUE"""),"Основное мероприятие ""Реализация функций аппарата ответственного исполнителя государственной программы""")</f>
        <v>Основное мероприятие "Реализация функций аппарата ответственного исполнителя государственной программы"</v>
      </c>
      <c r="B917" s="101" t="str">
        <f ca="1">IFERROR(__xludf.DUMMYFUNCTION("""COMPUTED_VALUE"""),"индикатор")</f>
        <v>индикатор</v>
      </c>
    </row>
    <row r="918" spans="1:2" ht="13">
      <c r="A918" s="101" t="str">
        <f ca="1">IFERROR(__xludf.DUMMYFUNCTION("""COMPUTED_VALUE"""),"Ведомственная целевая программа ""Обеспечение общих условий функционирования отраслей агропромышленного комплекса""")</f>
        <v>Ведомственная целевая программа "Обеспечение общих условий функционирования отраслей агропромышленного комплекса"</v>
      </c>
      <c r="B918" s="101" t="str">
        <f ca="1">IFERROR(__xludf.DUMMYFUNCTION("""COMPUTED_VALUE"""),"индикатор")</f>
        <v>индикатор</v>
      </c>
    </row>
    <row r="919" spans="1:2" ht="13">
      <c r="A919" s="101" t="str">
        <f ca="1">IFERROR(__xludf.DUMMYFUNCTION("""COMPUTED_VALUE"""),"Ведомственная целевая программа ""Организация ветеринарного и фитосанитарного надзора""")</f>
        <v>Ведомственная целевая программа "Организация ветеринарного и фитосанитарного надзора"</v>
      </c>
      <c r="B919" s="101" t="str">
        <f ca="1">IFERROR(__xludf.DUMMYFUNCTION("""COMPUTED_VALUE"""),"индикатор")</f>
        <v>индикатор</v>
      </c>
    </row>
    <row r="920" spans="1:2" ht="13">
      <c r="A920" s="101" t="str">
        <f ca="1">IFERROR(__xludf.DUMMYFUNCTION("""COMPUTED_VALUE"""),"Ведомственная целевая программа ""Научно-техническое обеспечение развития отраслей агропромышленного комплекса""")</f>
        <v>Ведомственная целевая программа "Научно-техническое обеспечение развития отраслей агропромышленного комплекса"</v>
      </c>
      <c r="B920" s="101" t="str">
        <f ca="1">IFERROR(__xludf.DUMMYFUNCTION("""COMPUTED_VALUE"""),"индикатор")</f>
        <v>индикатор</v>
      </c>
    </row>
    <row r="921" spans="1:2" ht="13">
      <c r="A921" s="101" t="str">
        <f ca="1">IFERROR(__xludf.DUMMYFUNCTION("""COMPUTED_VALUE"""),"Ведомственная программа ""Развитие мелиоративного комплекса России""")</f>
        <v>Ведомственная программа "Развитие мелиоративного комплекса России"</v>
      </c>
      <c r="B921" s="101" t="str">
        <f ca="1">IFERROR(__xludf.DUMMYFUNCTION("""COMPUTED_VALUE"""),"индикатор")</f>
        <v>индикатор</v>
      </c>
    </row>
    <row r="922" spans="1:2" ht="13">
      <c r="A922" s="101" t="str">
        <f ca="1">IFERROR(__xludf.DUMMYFUNCTION("""COMPUTED_VALUE"""),"Ведомственный проект ""Цифровое сельское хозяйство""")</f>
        <v>Ведомственный проект "Цифровое сельское хозяйство"</v>
      </c>
      <c r="B922" s="101" t="str">
        <f ca="1">IFERROR(__xludf.DUMMYFUNCTION("""COMPUTED_VALUE"""),"индикатор")</f>
        <v>индикатор</v>
      </c>
    </row>
    <row r="923" spans="1:2" ht="13">
      <c r="A923" s="101" t="str">
        <f ca="1">IFERROR(__xludf.DUMMYFUNCTION("""COMPUTED_VALUE"""),"Основное мероприятие ""Развитие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f>
        <v>Основное мероприятие "Развитие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v>
      </c>
      <c r="B923" s="101" t="str">
        <f ca="1">IFERROR(__xludf.DUMMYFUNCTION("""COMPUTED_VALUE"""),"индикатор")</f>
        <v>индикатор</v>
      </c>
    </row>
    <row r="924" spans="1:2" ht="13">
      <c r="A924" s="101" t="str">
        <f ca="1">IFERROR(__xludf.DUMMYFUNCTION("""COMPUTED_VALUE"""),"Основное мероприятие ""Осуществление работ по искусственному воспроизводству водных биологических ресурсов""")</f>
        <v>Основное мероприятие "Осуществление работ по искусственному воспроизводству водных биологических ресурсов"</v>
      </c>
      <c r="B924" s="101" t="str">
        <f ca="1">IFERROR(__xludf.DUMMYFUNCTION("""COMPUTED_VALUE"""),"индикатор")</f>
        <v>индикатор</v>
      </c>
    </row>
    <row r="925" spans="1:2" ht="13">
      <c r="A925" s="101" t="str">
        <f ca="1">IFERROR(__xludf.DUMMYFUNCTION("""COMPUTED_VALUE"""),"Основное мероприятие ""Осуществление работ по сохранению водных биологических ресурсов""")</f>
        <v>Основное мероприятие "Осуществление работ по сохранению водных биологических ресурсов"</v>
      </c>
      <c r="B925" s="101" t="str">
        <f ca="1">IFERROR(__xludf.DUMMYFUNCTION("""COMPUTED_VALUE"""),"индикатор")</f>
        <v>индикатор</v>
      </c>
    </row>
    <row r="926" spans="1:2" ht="13">
      <c r="A926" s="101" t="str">
        <f ca="1">IFERROR(__xludf.DUMMYFUNCTION("""COMPUTED_VALUE"""),"Основное мероприятие ""Проведение рыбохозяйственных исследований""")</f>
        <v>Основное мероприятие "Проведение рыбохозяйственных исследований"</v>
      </c>
      <c r="B926" s="101" t="str">
        <f ca="1">IFERROR(__xludf.DUMMYFUNCTION("""COMPUTED_VALUE"""),"индикатор")</f>
        <v>индикатор</v>
      </c>
    </row>
    <row r="927" spans="1:2" ht="13">
      <c r="A927" s="101" t="str">
        <f ca="1">IFERROR(__xludf.DUMMYFUNCTION("""COMPUTED_VALUE"""),"Основное мероприятие ""Совершенствование деятельности по предупреждению, сдерживанию и ликвидации незаконного, несообщаемого и нерегулируемого промысла водных биологических ресурсов""")</f>
        <v>Основное мероприятие "Совершенствование деятельности по предупреждению, сдерживанию и ликвидации незаконного, несообщаемого и нерегулируемого промысла водных биологических ресурсов"</v>
      </c>
      <c r="B927" s="101" t="str">
        <f ca="1">IFERROR(__xludf.DUMMYFUNCTION("""COMPUTED_VALUE"""),"индикатор")</f>
        <v>индикатор</v>
      </c>
    </row>
    <row r="928" spans="1:2" ht="13">
      <c r="A928" s="101" t="str">
        <f ca="1">IFERROR(__xludf.DUMMYFUNCTION("""COMPUTED_VALUE"""),"Основное мероприятие ""Повышение безопасности плавания судов рыбопромыслового флота и выполнение комплекса аварийно-спасательных работ на рыбопромысловых судах в районах промысла при осуществлении рыболовства""")</f>
        <v>Основное мероприятие "Повышение безопасности плавания судов рыбопромыслового флота и выполнение комплекса аварийно-спасательных работ на рыбопромысловых судах в районах промысла при осуществлении рыболовства"</v>
      </c>
      <c r="B928" s="101" t="str">
        <f ca="1">IFERROR(__xludf.DUMMYFUNCTION("""COMPUTED_VALUE"""),"индикатор")</f>
        <v>индикатор</v>
      </c>
    </row>
    <row r="929" spans="1:2" ht="13">
      <c r="A929" s="101" t="str">
        <f ca="1">IFERROR(__xludf.DUMMYFUNCTION("""COMPUTED_VALUE"""),"Основное мероприятие ""Информационное обеспечение деятельности рыбохозяйственного комплекса""")</f>
        <v>Основное мероприятие "Информационное обеспечение деятельности рыбохозяйственного комплекса"</v>
      </c>
      <c r="B929" s="101" t="str">
        <f ca="1">IFERROR(__xludf.DUMMYFUNCTION("""COMPUTED_VALUE"""),"индикатор")</f>
        <v>индикатор</v>
      </c>
    </row>
    <row r="930" spans="1:2" ht="13">
      <c r="A930" s="101" t="str">
        <f ca="1">IFERROR(__xludf.DUMMYFUNCTION("""COMPUTED_VALUE"""),"Основное мероприятие ""Поддержка аквакультуры и товарного осетроводства в субъектах Российской Федерации""")</f>
        <v>Основное мероприятие "Поддержка аквакультуры и товарного осетроводства в субъектах Российской Федерации"</v>
      </c>
      <c r="B930" s="101" t="str">
        <f ca="1">IFERROR(__xludf.DUMMYFUNCTION("""COMPUTED_VALUE"""),"индикатор")</f>
        <v>индикатор</v>
      </c>
    </row>
    <row r="931" spans="1:2" ht="13">
      <c r="A931" s="101" t="str">
        <f ca="1">IFERROR(__xludf.DUMMYFUNCTION("""COMPUTED_VALUE"""),"Основное мероприятие ""Руководство и управление в сфере установленных функций""")</f>
        <v>Основное мероприятие "Руководство и управление в сфере установленных функций"</v>
      </c>
      <c r="B931" s="101" t="str">
        <f ca="1">IFERROR(__xludf.DUMMYFUNCTION("""COMPUTED_VALUE"""),"индикатор")</f>
        <v>индикатор</v>
      </c>
    </row>
    <row r="932" spans="1:2" ht="13">
      <c r="A932" s="101" t="str">
        <f ca="1">IFERROR(__xludf.DUMMYFUNCTION("""COMPUTED_VALUE"""),"Основное мероприятие ""Развитие научно-производственной базы аквакультуры""")</f>
        <v>Основное мероприятие "Развитие научно-производственной базы аквакультуры"</v>
      </c>
      <c r="B932" s="101" t="str">
        <f ca="1">IFERROR(__xludf.DUMMYFUNCTION("""COMPUTED_VALUE"""),"индикатор")</f>
        <v>индикатор</v>
      </c>
    </row>
    <row r="933" spans="1:2" ht="13">
      <c r="A933" s="101" t="str">
        <f ca="1">IFERROR(__xludf.DUMMYFUNCTION("""COMPUTED_VALUE"""),"Основное мероприятие ""Реконструкция объектов федеральной собственности портовых сооружений рыбных терминалов морских портов""")</f>
        <v>Основное мероприятие "Реконструкция объектов федеральной собственности портовых сооружений рыбных терминалов морских портов"</v>
      </c>
      <c r="B933" s="101" t="str">
        <f ca="1">IFERROR(__xludf.DUMMYFUNCTION("""COMPUTED_VALUE"""),"индикатор")</f>
        <v>индикатор</v>
      </c>
    </row>
    <row r="934" spans="1:2" ht="13">
      <c r="A934" s="101" t="str">
        <f ca="1">IFERROR(__xludf.DUMMYFUNCTION("""COMPUTED_VALUE"""),"Основное мероприятие ""Строительство и комплексная капитальная реконструкция научно-исследовательских судов""")</f>
        <v>Основное мероприятие "Строительство и комплексная капитальная реконструкция научно-исследовательских судов"</v>
      </c>
      <c r="B934" s="101" t="str">
        <f ca="1">IFERROR(__xludf.DUMMYFUNCTION("""COMPUTED_VALUE"""),"индикатор")</f>
        <v>индикатор</v>
      </c>
    </row>
    <row r="935" spans="1:2" ht="13">
      <c r="A935" s="101" t="str">
        <f ca="1">IFERROR(__xludf.DUMMYFUNCTION("""COMPUTED_VALUE"""),"Основное мероприятие ""Межведомственное взаимодействие и контроль, направленные на борьбу с незаконной добычей (выловом) осетровых видов рыб""")</f>
        <v>Основное мероприятие "Межведомственное взаимодействие и контроль, направленные на борьбу с незаконной добычей (выловом) осетровых видов рыб"</v>
      </c>
      <c r="B935" s="101" t="str">
        <f ca="1">IFERROR(__xludf.DUMMYFUNCTION("""COMPUTED_VALUE"""),"индикатор")</f>
        <v>индикатор</v>
      </c>
    </row>
    <row r="936" spans="1:2" ht="13">
      <c r="A936" s="101" t="str">
        <f ca="1">IFERROR(__xludf.DUMMYFUNCTION("""COMPUTED_VALUE"""),"Основное мероприятие ""Развитие технологий товарного осетроводства""")</f>
        <v>Основное мероприятие "Развитие технологий товарного осетроводства"</v>
      </c>
      <c r="B936" s="101" t="str">
        <f ca="1">IFERROR(__xludf.DUMMYFUNCTION("""COMPUTED_VALUE"""),"индикатор")</f>
        <v>индикатор</v>
      </c>
    </row>
    <row r="937" spans="1:2" ht="13">
      <c r="A937" s="101" t="str">
        <f ca="1">IFERROR(__xludf.DUMMYFUNCTION("""COMPUTED_VALUE"""),"Основное мероприятие ""Мониторинг состояния запасов осетровых видов рыб""")</f>
        <v>Основное мероприятие "Мониторинг состояния запасов осетровых видов рыб"</v>
      </c>
      <c r="B937" s="101" t="str">
        <f ca="1">IFERROR(__xludf.DUMMYFUNCTION("""COMPUTED_VALUE"""),"индикатор")</f>
        <v>индикатор</v>
      </c>
    </row>
    <row r="938" spans="1:2" ht="13">
      <c r="A938" s="101" t="str">
        <f ca="1">IFERROR(__xludf.DUMMYFUNCTION("""COMPUTED_VALUE"""),"Основное мероприятие ""Осуществление работ по искусственному воспроизводству осетровых видов рыб""")</f>
        <v>Основное мероприятие "Осуществление работ по искусственному воспроизводству осетровых видов рыб"</v>
      </c>
      <c r="B938" s="101" t="str">
        <f ca="1">IFERROR(__xludf.DUMMYFUNCTION("""COMPUTED_VALUE"""),"индикатор")</f>
        <v>индикатор</v>
      </c>
    </row>
    <row r="939" spans="1:2" ht="13">
      <c r="A939" s="101" t="str">
        <f ca="1">IFERROR(__xludf.DUMMYFUNCTION("""COMPUTED_VALUE"""),"Основное мероприятие ""Расширение двустороннего торгово-экономического сотрудничества с зарубежными странами""")</f>
        <v>Основное мероприятие "Расширение двустороннего торгово-экономического сотрудничества с зарубежными странами"</v>
      </c>
      <c r="B939" s="101" t="str">
        <f ca="1">IFERROR(__xludf.DUMMYFUNCTION("""COMPUTED_VALUE"""),"индикатор")</f>
        <v>индикатор</v>
      </c>
    </row>
    <row r="940" spans="1:2" ht="13">
      <c r="A940" s="101" t="str">
        <f ca="1">IFERROR(__xludf.DUMMYFUNCTION("""COMPUTED_VALUE"""),"Основное мероприятие ""Развитие интеграции Российской Федерации в международную экономическую систему, обеспечение участия в международных экономических организациях, форумах и соглашениях""")</f>
        <v>Основное мероприятие "Развитие интеграции Российской Федерации в международную экономическую систему, обеспечение участия в международных экономических организациях, форумах и соглашениях"</v>
      </c>
      <c r="B940" s="101" t="str">
        <f ca="1">IFERROR(__xludf.DUMMYFUNCTION("""COMPUTED_VALUE"""),"индикатор")</f>
        <v>индикатор</v>
      </c>
    </row>
    <row r="941" spans="1:2" ht="13">
      <c r="A941" s="101" t="str">
        <f ca="1">IFERROR(__xludf.DUMMYFUNCTION("""COMPUTED_VALUE"""),"Основное мероприятие ""Промоутерская поддержка экспорта и инвестиционного сотрудничества""")</f>
        <v>Основное мероприятие "Промоутерская поддержка экспорта и инвестиционного сотрудничества"</v>
      </c>
      <c r="B941" s="101" t="str">
        <f ca="1">IFERROR(__xludf.DUMMYFUNCTION("""COMPUTED_VALUE"""),"индикатор")</f>
        <v>индикатор</v>
      </c>
    </row>
    <row r="942" spans="1:2" ht="13">
      <c r="A942" s="101" t="str">
        <f ca="1">IFERROR(__xludf.DUMMYFUNCTION("""COMPUTED_VALUE"""),"Основное мероприятие ""Развитие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f>
        <v>Основное мероприятие "Развитие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v>
      </c>
      <c r="B942" s="101" t="str">
        <f ca="1">IFERROR(__xludf.DUMMYFUNCTION("""COMPUTED_VALUE"""),"индикатор")</f>
        <v>индикатор</v>
      </c>
    </row>
    <row r="943" spans="1:2" ht="13">
      <c r="A943" s="101" t="str">
        <f ca="1">IFERROR(__xludf.DUMMYFUNCTION("""COMPUTED_VALUE"""),"Основное мероприятие ""Развитие системы подготовки, переподготовки и повышения квалификации кадров в сфере внешнеэкономической деятельности""")</f>
        <v>Основное мероприятие "Развитие системы подготовки, переподготовки и повышения квалификации кадров в сфере внешнеэкономической деятельности"</v>
      </c>
      <c r="B943" s="101" t="str">
        <f ca="1">IFERROR(__xludf.DUMMYFUNCTION("""COMPUTED_VALUE"""),"индикатор")</f>
        <v>индикатор</v>
      </c>
    </row>
    <row r="944" spans="1:2" ht="13">
      <c r="A944" s="101" t="str">
        <f ca="1">IFERROR(__xludf.DUMMYFUNCTION("""COMPUTED_VALUE"""),"Основное мероприятие ""Совершенствование деятельности таможенных органов Российской Федерации""")</f>
        <v>Основное мероприятие "Совершенствование деятельности таможенных органов Российской Федерации"</v>
      </c>
      <c r="B944" s="101" t="str">
        <f ca="1">IFERROR(__xludf.DUMMYFUNCTION("""COMPUTED_VALUE"""),"индикатор")</f>
        <v>индикатор</v>
      </c>
    </row>
    <row r="945" spans="1:2" ht="13">
      <c r="A945" s="101" t="str">
        <f ca="1">IFERROR(__xludf.DUMMYFUNCTION("""COMPUTED_VALUE"""),"Основное мероприятие ""Развитие административной и социальной инфраструктуры таможенных органов Российской Федерации""")</f>
        <v>Основное мероприятие "Развитие административной и социальной инфраструктуры таможенных органов Российской Федерации"</v>
      </c>
      <c r="B945" s="101" t="str">
        <f ca="1">IFERROR(__xludf.DUMMYFUNCTION("""COMPUTED_VALUE"""),"индикатор")</f>
        <v>индикатор</v>
      </c>
    </row>
    <row r="946" spans="1:2" ht="13">
      <c r="A946" s="101" t="str">
        <f ca="1">IFERROR(__xludf.DUMMYFUNCTION("""COMPUTED_VALUE"""),"Основное мероприятие ""Жилищное обеспечение сотрудников таможенных органов""")</f>
        <v>Основное мероприятие "Жилищное обеспечение сотрудников таможенных органов"</v>
      </c>
      <c r="B946" s="101" t="str">
        <f ca="1">IFERROR(__xludf.DUMMYFUNCTION("""COMPUTED_VALUE"""),"индикатор")</f>
        <v>индикатор</v>
      </c>
    </row>
    <row r="947" spans="1:2" ht="13">
      <c r="A947" s="101" t="str">
        <f ca="1">IFERROR(__xludf.DUMMYFUNCTION("""COMPUTED_VALUE"""),"Основное мероприятие ""Медицинское и санаторно-курортное обеспечение""")</f>
        <v>Основное мероприятие "Медицинское и санаторно-курортное обеспечение"</v>
      </c>
      <c r="B947" s="101" t="str">
        <f ca="1">IFERROR(__xludf.DUMMYFUNCTION("""COMPUTED_VALUE"""),"индикатор")</f>
        <v>индикатор</v>
      </c>
    </row>
    <row r="948" spans="1:2" ht="13">
      <c r="A948" s="101" t="str">
        <f ca="1">IFERROR(__xludf.DUMMYFUNCTION("""COMPUTED_VALUE"""),"Основное мероприятие ""Совершенствование системы пунктов пропуска, создание благоприятных условий для перемещения через государственную границу грузов и пересечения ее физическими лицами""")</f>
        <v>Основное мероприятие "Совершенствование системы пунктов пропуска, создание благоприятных условий для перемещения через государственную границу грузов и пересечения ее физическими лицами"</v>
      </c>
      <c r="B948" s="101" t="str">
        <f ca="1">IFERROR(__xludf.DUMMYFUNCTION("""COMPUTED_VALUE"""),"индикатор")</f>
        <v>индикатор</v>
      </c>
    </row>
    <row r="949" spans="1:2" ht="13">
      <c r="A949" s="101" t="str">
        <f ca="1">IFERROR(__xludf.DUMMYFUNCTION("""COMPUTED_VALUE"""),"Основное мероприятие ""Региональные геолого-геофизические и геолого-съемочные работы""")</f>
        <v>Основное мероприятие "Региональные геолого-геофизические и геолого-съемочные работы"</v>
      </c>
      <c r="B949" s="101" t="str">
        <f ca="1">IFERROR(__xludf.DUMMYFUNCTION("""COMPUTED_VALUE"""),"индикатор")</f>
        <v>индикатор</v>
      </c>
    </row>
    <row r="950" spans="1:2" ht="13">
      <c r="A950" s="101" t="str">
        <f ca="1">IFERROR(__xludf.DUMMYFUNCTION("""COMPUTED_VALUE"""),"Основное мероприятие ""Работы специального геологического назначения""")</f>
        <v>Основное мероприятие "Работы специального геологического назначения"</v>
      </c>
      <c r="B950" s="101" t="str">
        <f ca="1">IFERROR(__xludf.DUMMYFUNCTION("""COMPUTED_VALUE"""),"индикатор")</f>
        <v>индикатор</v>
      </c>
    </row>
    <row r="951" spans="1:2" ht="13">
      <c r="A951" s="101" t="str">
        <f ca="1">IFERROR(__xludf.DUMMYFUNCTION("""COMPUTED_VALUE"""),"Основное мероприятие ""Государственный мониторинг состояния недр, гидрогеологическая и инженерно-геологическая съемка""")</f>
        <v>Основное мероприятие "Государственный мониторинг состояния недр, гидрогеологическая и инженерно-геологическая съемка"</v>
      </c>
      <c r="B951" s="101" t="str">
        <f ca="1">IFERROR(__xludf.DUMMYFUNCTION("""COMPUTED_VALUE"""),"индикатор")</f>
        <v>индикатор</v>
      </c>
    </row>
    <row r="952" spans="1:2" ht="13">
      <c r="A952" s="101" t="str">
        <f ca="1">IFERROR(__xludf.DUMMYFUNCTION("""COMPUTED_VALUE"""),"Основное мероприятие ""Государственное геологическое информационное обеспечение""")</f>
        <v>Основное мероприятие "Государственное геологическое информационное обеспечение"</v>
      </c>
      <c r="B952" s="101" t="str">
        <f ca="1">IFERROR(__xludf.DUMMYFUNCTION("""COMPUTED_VALUE"""),"индикатор")</f>
        <v>индикатор</v>
      </c>
    </row>
    <row r="953" spans="1:2" ht="13">
      <c r="A953" s="101" t="str">
        <f ca="1">IFERROR(__xludf.DUMMYFUNCTION("""COMPUTED_VALUE"""),"Основное мероприятие ""Воспроизводство минерально-сырьевой базы углеводородного сырья""")</f>
        <v>Основное мероприятие "Воспроизводство минерально-сырьевой базы углеводородного сырья"</v>
      </c>
      <c r="B953" s="101" t="str">
        <f ca="1">IFERROR(__xludf.DUMMYFUNCTION("""COMPUTED_VALUE"""),"индикатор")</f>
        <v>индикатор</v>
      </c>
    </row>
    <row r="954" spans="1:2" ht="13">
      <c r="A954" s="101" t="str">
        <f ca="1">IFERROR(__xludf.DUMMYFUNCTION("""COMPUTED_VALUE"""),"Основное мероприятие ""Воспроизводство минерально-сырьевой базы твердых полезных ископаемых""")</f>
        <v>Основное мероприятие "Воспроизводство минерально-сырьевой базы твердых полезных ископаемых"</v>
      </c>
      <c r="B954" s="101" t="str">
        <f ca="1">IFERROR(__xludf.DUMMYFUNCTION("""COMPUTED_VALUE"""),"индикатор")</f>
        <v>индикатор</v>
      </c>
    </row>
    <row r="955" spans="1:2" ht="13">
      <c r="A955" s="101" t="str">
        <f ca="1">IFERROR(__xludf.DUMMYFUNCTION("""COMPUTED_VALUE"""),"Основное мероприятие ""Воспроизводство минерально-сырьевой базы подземных вод (питьевых и минеральных)""")</f>
        <v>Основное мероприятие "Воспроизводство минерально-сырьевой базы подземных вод (питьевых и минеральных)"</v>
      </c>
      <c r="B955" s="101" t="str">
        <f ca="1">IFERROR(__xludf.DUMMYFUNCTION("""COMPUTED_VALUE"""),"индикатор")</f>
        <v>индикатор</v>
      </c>
    </row>
    <row r="956" spans="1:2" ht="13">
      <c r="A956" s="101" t="str">
        <f ca="1">IFERROR(__xludf.DUMMYFUNCTION("""COMPUTED_VALUE"""),"Основное мероприятие ""Воспроизводство минерально-сырьевой базы и геологическое изучение недр в Республике Крым и городе федерального значения Севастополе""")</f>
        <v>Основное мероприятие "Воспроизводство минерально-сырьевой базы и геологическое изучение недр в Республике Крым и городе федерального значения Севастополе"</v>
      </c>
      <c r="B956" s="101" t="str">
        <f ca="1">IFERROR(__xludf.DUMMYFUNCTION("""COMPUTED_VALUE"""),"индикатор")</f>
        <v>индикатор</v>
      </c>
    </row>
    <row r="957" spans="1:2" ht="13">
      <c r="A957" s="101" t="str">
        <f ca="1">IFERROR(__xludf.DUMMYFUNCTION("""COMPUTED_VALUE"""),"Основное мероприятие ""Научно-аналитическое и инновационное обеспечение государственной политики в сфере развития и использования минерально-сырьевой базы""")</f>
        <v>Основное мероприятие "Научно-аналитическое и инновационное обеспечение государственной политики в сфере развития и использования минерально-сырьевой базы"</v>
      </c>
      <c r="B957" s="101" t="str">
        <f ca="1">IFERROR(__xludf.DUMMYFUNCTION("""COMPUTED_VALUE"""),"индикатор")</f>
        <v>индикатор</v>
      </c>
    </row>
    <row r="958" spans="1:2" ht="13">
      <c r="A958" s="101" t="str">
        <f ca="1">IFERROR(__xludf.DUMMYFUNCTION("""COMPUTED_VALUE"""),"Основное мероприятие ""Тематические и опытно-методические работы, связанные с геологическим изучением недр и воспроизводством минерально-сырьевой базы, мониторингом недропользования""")</f>
        <v>Основное мероприятие "Тематические и опытно-методические работы, связанные с геологическим изучением недр и воспроизводством минерально-сырьевой базы, мониторингом недропользования"</v>
      </c>
      <c r="B958" s="101" t="str">
        <f ca="1">IFERROR(__xludf.DUMMYFUNCTION("""COMPUTED_VALUE"""),"индикатор")</f>
        <v>индикатор</v>
      </c>
    </row>
    <row r="959" spans="1:2" ht="13">
      <c r="A959" s="101" t="str">
        <f ca="1">IFERROR(__xludf.DUMMYFUNCTION("""COMPUTED_VALUE"""),"Основное мероприятие ""Обеспечение эффективной реализации государственных функций в сфере недропользования""")</f>
        <v>Основное мероприятие "Обеспечение эффективной реализации государственных функций в сфере недропользования"</v>
      </c>
      <c r="B959" s="101" t="str">
        <f ca="1">IFERROR(__xludf.DUMMYFUNCTION("""COMPUTED_VALUE"""),"индикатор")</f>
        <v>индикатор</v>
      </c>
    </row>
    <row r="960" spans="1:2" ht="13">
      <c r="A960" s="101" t="str">
        <f ca="1">IFERROR(__xludf.DUMMYFUNCTION("""COMPUTED_VALUE"""),"Основное мероприятие ""Обеспечение участия Российской Федерации в международных организациях (соглашениях) в сфере геологического изучения недр и воспроизводства минерально-сырьевой базы""")</f>
        <v>Основное мероприятие "Обеспечение участия Российской Федерации в международных организациях (соглашениях) в сфере геологического изучения недр и воспроизводства минерально-сырьевой базы"</v>
      </c>
      <c r="B960" s="101" t="str">
        <f ca="1">IFERROR(__xludf.DUMMYFUNCTION("""COMPUTED_VALUE"""),"индикатор")</f>
        <v>индикатор</v>
      </c>
    </row>
    <row r="961" spans="1:2" ht="13">
      <c r="A961" s="101" t="str">
        <f ca="1">IFERROR(__xludf.DUMMYFUNCTION("""COMPUTED_VALUE"""),"Основное мероприятие ""Геологическое изучение и оценка минерально-сырьевой базы Мирового океана""")</f>
        <v>Основное мероприятие "Геологическое изучение и оценка минерально-сырьевой базы Мирового океана"</v>
      </c>
      <c r="B961" s="101" t="str">
        <f ca="1">IFERROR(__xludf.DUMMYFUNCTION("""COMPUTED_VALUE"""),"индикатор")</f>
        <v>индикатор</v>
      </c>
    </row>
    <row r="962" spans="1:2" ht="13">
      <c r="A962" s="101" t="str">
        <f ca="1">IFERROR(__xludf.DUMMYFUNCTION("""COMPUTED_VALUE"""),"Основное мероприятие ""Осуществление водохозяйственных и водоохранных мероприятий, обеспечение безопасной эксплуатации гидротехнических сооружений и информационно-техническое обеспечение отрасли""")</f>
        <v>Основное мероприятие "Осуществление водохозяйственных и водоохранных мероприятий, обеспечение безопасной эксплуатации гидротехнических сооружений и информационно-техническое обеспечение отрасли"</v>
      </c>
      <c r="B962" s="101" t="str">
        <f ca="1">IFERROR(__xludf.DUMMYFUNCTION("""COMPUTED_VALUE"""),"индикатор")</f>
        <v>индикатор</v>
      </c>
    </row>
    <row r="963" spans="1:2" ht="13">
      <c r="A963" s="101" t="str">
        <f ca="1">IFERROR(__xludf.DUMMYFUNCTION("""COMPUTED_VALUE"""),"Основное мероприятие ""Обеспечение исполнения субъектами Российской Федерации переданных полномочий Российской Федерации в области водных отношений""")</f>
        <v>Основное мероприятие "Обеспечение исполнения субъектами Российской Федерации переданных полномочий Российской Федерации в области водных отношений"</v>
      </c>
      <c r="B963" s="101" t="str">
        <f ca="1">IFERROR(__xludf.DUMMYFUNCTION("""COMPUTED_VALUE"""),"индикатор")</f>
        <v>индикатор</v>
      </c>
    </row>
    <row r="964" spans="1:2" ht="13">
      <c r="A964" s="101" t="str">
        <f ca="1">IFERROR(__xludf.DUMMYFUNCTION("""COMPUTED_VALUE"""),"Основное мероприятие ""Создание и эксплуатация защитных сооружений от наводнений""")</f>
        <v>Основное мероприятие "Создание и эксплуатация защитных сооружений от наводнений"</v>
      </c>
      <c r="B964" s="101" t="str">
        <f ca="1">IFERROR(__xludf.DUMMYFUNCTION("""COMPUTED_VALUE"""),"индикатор")</f>
        <v>индикатор</v>
      </c>
    </row>
    <row r="965" spans="1:2" ht="13">
      <c r="A965" s="101" t="str">
        <f ca="1">IFERROR(__xludf.DUMMYFUNCTION("""COMPUTED_VALUE"""),"Основное мероприятие ""Обеспечение эффективной реализации государственных функций в сфере водных отношений""")</f>
        <v>Основное мероприятие "Обеспечение эффективной реализации государственных функций в сфере водных отношений"</v>
      </c>
      <c r="B965" s="101" t="str">
        <f ca="1">IFERROR(__xludf.DUMMYFUNCTION("""COMPUTED_VALUE"""),"индикатор")</f>
        <v>индикатор</v>
      </c>
    </row>
    <row r="966" spans="1:2" ht="13">
      <c r="A966" s="101" t="str">
        <f ca="1">IFERROR(__xludf.DUMMYFUNCTION("""COMPUTED_VALUE"""),"Основное мероприятие ""Строительство и реконструкция объектов капитального строительства, направленных на повышение защищенности населения и объектов экономики от наводнений и другого негативного воздействия вод""")</f>
        <v>Основное мероприятие "Строительство и реконструкция объектов капитального строительства, направленных на повышение защищенности населения и объектов экономики от наводнений и другого негативного воздействия вод"</v>
      </c>
      <c r="B966" s="101" t="str">
        <f ca="1">IFERROR(__xludf.DUMMYFUNCTION("""COMPUTED_VALUE"""),"индикатор")</f>
        <v>индикатор</v>
      </c>
    </row>
    <row r="967" spans="1:2" ht="13">
      <c r="A967" s="101" t="str">
        <f ca="1">IFERROR(__xludf.DUMMYFUNCTION("""COMPUTED_VALUE"""),"Основное мероприятие ""Поддержка реализации мероприятий государственных программ (подпрограмм государственных программ) субъектов Российской Федерации в области использования и охраны водных объектов""")</f>
        <v>Основное мероприятие "Поддержка реализации мероприятий государственных программ (подпрограмм государственных программ) субъектов Российской Федерации в области использования и охраны водных объектов"</v>
      </c>
      <c r="B967" s="101" t="str">
        <f ca="1">IFERROR(__xludf.DUMMYFUNCTION("""COMPUTED_VALUE"""),"индикатор")</f>
        <v>индикатор</v>
      </c>
    </row>
    <row r="968" spans="1:2" ht="13">
      <c r="A968" s="101" t="str">
        <f ca="1">IFERROR(__xludf.DUMMYFUNCTION("""COMPUTED_VALUE"""),"Основное мероприятие ""Строительство и реконструкция систем водоподачи комплексного назначения""")</f>
        <v>Основное мероприятие "Строительство и реконструкция систем водоподачи комплексного назначения"</v>
      </c>
      <c r="B968" s="101" t="str">
        <f ca="1">IFERROR(__xludf.DUMMYFUNCTION("""COMPUTED_VALUE"""),"индикатор")</f>
        <v>индикатор</v>
      </c>
    </row>
    <row r="969" spans="1:2" ht="13">
      <c r="A969" s="101" t="str">
        <f ca="1">IFERROR(__xludf.DUMMYFUNCTION("""COMPUTED_VALUE"""),"Основное мероприятие ""Научно-методическое, информационно-аналитическое и экспертное обеспечение реализации государственной политики в сфере охраны и использования водных ресурсов""")</f>
        <v>Основное мероприятие "Научно-методическое, информационно-аналитическое и экспертное обеспечение реализации государственной политики в сфере охраны и использования водных ресурсов"</v>
      </c>
      <c r="B969" s="101" t="str">
        <f ca="1">IFERROR(__xludf.DUMMYFUNCTION("""COMPUTED_VALUE"""),"индикатор")</f>
        <v>индикатор</v>
      </c>
    </row>
    <row r="970" spans="1:2" ht="13">
      <c r="A970" s="101" t="str">
        <f ca="1">IFERROR(__xludf.DUMMYFUNCTION("""COMPUTED_VALUE"""),"Иные мероприятия федеральной целевой программы")</f>
        <v>Иные мероприятия федеральной целевой программы</v>
      </c>
      <c r="B970" s="101" t="str">
        <f ca="1">IFERROR(__xludf.DUMMYFUNCTION("""COMPUTED_VALUE"""),"индикатор")</f>
        <v>индикатор</v>
      </c>
    </row>
    <row r="971" spans="1:2" ht="13">
      <c r="A971" s="101" t="str">
        <f ca="1">IFERROR(__xludf.DUMMYFUNCTION("""COMPUTED_VALUE"""),"Основное мероприятие ""Обеспечение контроля пожарной опасности в лесах и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f>
        <v>Основное мероприятие "Обеспечение контроля пожарной опасности в лесах и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v>
      </c>
      <c r="B971" s="101" t="str">
        <f ca="1">IFERROR(__xludf.DUMMYFUNCTION("""COMPUTED_VALUE"""),"индикатор")</f>
        <v>индикатор</v>
      </c>
    </row>
    <row r="972" spans="1:2" ht="13">
      <c r="A972" s="101" t="str">
        <f ca="1">IFERROR(__xludf.DUMMYFUNCTION("""COMPUTED_VALUE"""),"Основное мероприятие ""Государственный лесопатологический мониторинг в лесах, расположенных на землях лесного фонда""")</f>
        <v>Основное мероприятие "Государственный лесопатологический мониторинг в лесах, расположенных на землях лесного фонда"</v>
      </c>
      <c r="B972" s="101" t="str">
        <f ca="1">IFERROR(__xludf.DUMMYFUNCTION("""COMPUTED_VALUE"""),"индикатор")</f>
        <v>индикатор</v>
      </c>
    </row>
    <row r="973" spans="1:2" ht="13">
      <c r="A973" s="101" t="str">
        <f ca="1">IFERROR(__xludf.DUMMYFUNCTION("""COMPUTED_VALUE"""),"Основное мероприятие ""Государственный мониторинг воспроизводства лесов, формирование и хранение федерального фонда семян лесных растений""")</f>
        <v>Основное мероприятие "Государственный мониторинг воспроизводства лесов, формирование и хранение федерального фонда семян лесных растений"</v>
      </c>
      <c r="B973" s="101" t="str">
        <f ca="1">IFERROR(__xludf.DUMMYFUNCTION("""COMPUTED_VALUE"""),"индикатор")</f>
        <v>индикатор</v>
      </c>
    </row>
    <row r="974" spans="1:2" ht="13">
      <c r="A974" s="101" t="str">
        <f ca="1">IFERROR(__xludf.DUMMYFUNCTION("""COMPUTED_VALUE"""),"Основное мероприятие ""Обеспечение исполнения переданных субъектам Российской Федерации полномочий Российской Федерации в области лесных отношений""")</f>
        <v>Основное мероприятие "Обеспечение исполнения переданных субъектам Российской Федерации полномочий Российской Федерации в области лесных отношений"</v>
      </c>
      <c r="B974" s="101" t="str">
        <f ca="1">IFERROR(__xludf.DUMMYFUNCTION("""COMPUTED_VALUE"""),"индикатор")</f>
        <v>индикатор</v>
      </c>
    </row>
    <row r="975" spans="1:2" ht="13">
      <c r="A975" s="101" t="str">
        <f ca="1">IFERROR(__xludf.DUMMYFUNCTION("""COMPUTED_VALUE"""),"Основное мероприятие ""Обеспечение стратегического управления лесным хозяйством""")</f>
        <v>Основное мероприятие "Обеспечение стратегического управления лесным хозяйством"</v>
      </c>
      <c r="B975" s="101" t="str">
        <f ca="1">IFERROR(__xludf.DUMMYFUNCTION("""COMPUTED_VALUE"""),"индикатор")</f>
        <v>индикатор</v>
      </c>
    </row>
    <row r="976" spans="1:2" ht="13">
      <c r="A976" s="101" t="str">
        <f ca="1">IFERROR(__xludf.DUMMYFUNCTION("""COMPUTED_VALUE"""),"Основное мероприятие ""Научно-аналитическое обеспечение в сфере реализации государственной программы, направленное на повышение научно-технического потенциала лесного сектора экономики""")</f>
        <v>Основное мероприятие "Научно-аналитическое обеспечение в сфере реализации государственной программы, направленное на повышение научно-технического потенциала лесного сектора экономики"</v>
      </c>
      <c r="B976" s="101" t="str">
        <f ca="1">IFERROR(__xludf.DUMMYFUNCTION("""COMPUTED_VALUE"""),"индикатор")</f>
        <v>индикатор</v>
      </c>
    </row>
    <row r="977" spans="1:2" ht="13">
      <c r="A977" s="101" t="str">
        <f ca="1">IFERROR(__xludf.DUMMYFUNCTION("""COMPUTED_VALUE"""),"Основное мероприятие ""Обеспечение исполнения государственных функций Рослесхозом, формирование условий для участия граждан в принятии решений в области лесных отношений, развитие международного сотрудничества""")</f>
        <v>Основное мероприятие "Обеспечение исполнения государственных функций Рослесхозом, формирование условий для участия граждан в принятии решений в области лесных отношений, развитие международного сотрудничества"</v>
      </c>
      <c r="B977" s="101" t="str">
        <f ca="1">IFERROR(__xludf.DUMMYFUNCTION("""COMPUTED_VALUE"""),"индикатор")</f>
        <v>индикатор</v>
      </c>
    </row>
    <row r="978" spans="1:2" ht="13">
      <c r="A978" s="101" t="str">
        <f ca="1">IFERROR(__xludf.DUMMYFUNCTION("""COMPUTED_VALUE"""),"Основное мероприятие ""Обеспечение землеустройства и землепользования""")</f>
        <v>Основное мероприятие "Обеспечение землеустройства и землепользования"</v>
      </c>
      <c r="B978" s="101" t="str">
        <f ca="1">IFERROR(__xludf.DUMMYFUNCTION("""COMPUTED_VALUE"""),"индикатор")</f>
        <v>индикатор</v>
      </c>
    </row>
    <row r="979" spans="1:2" ht="13">
      <c r="A979" s="101" t="str">
        <f ca="1">IFERROR(__xludf.DUMMYFUNCTION("""COMPUTED_VALUE"""),"Основное мероприятие ""Модернизация и новое строительство электросетевых объектов""")</f>
        <v>Основное мероприятие "Модернизация и новое строительство электросетевых объектов"</v>
      </c>
      <c r="B979" s="101" t="str">
        <f ca="1">IFERROR(__xludf.DUMMYFUNCTION("""COMPUTED_VALUE"""),"индикатор")</f>
        <v>индикатор</v>
      </c>
    </row>
    <row r="980" spans="1:2" ht="13">
      <c r="A980" s="101" t="str">
        <f ca="1">IFERROR(__xludf.DUMMYFUNCTION("""COMPUTED_VALUE"""),"Основное мероприятие ""Возмещение территориальным сетевым организациям недополученных доходов, вызванных установлением экономически необоснованных тарифных решений""")</f>
        <v>Основное мероприятие "Возмещение территориальным сетевым организациям недополученных доходов, вызванных установлением экономически необоснованных тарифных решений"</v>
      </c>
      <c r="B980" s="101" t="str">
        <f ca="1">IFERROR(__xludf.DUMMYFUNCTION("""COMPUTED_VALUE"""),"индикатор")</f>
        <v>индикатор</v>
      </c>
    </row>
    <row r="981" spans="1:2" ht="13">
      <c r="A981" s="101" t="str">
        <f ca="1">IFERROR(__xludf.DUMMYFUNCTION("""COMPUTED_VALUE"""),"Основное мероприятие ""Реструктуризация угольной промышленности""")</f>
        <v>Основное мероприятие "Реструктуризация угольной промышленности"</v>
      </c>
      <c r="B981" s="101" t="str">
        <f ca="1">IFERROR(__xludf.DUMMYFUNCTION("""COMPUTED_VALUE"""),"индикатор")</f>
        <v>индикатор</v>
      </c>
    </row>
    <row r="982" spans="1:2" ht="13">
      <c r="A982" s="101" t="str">
        <f ca="1">IFERROR(__xludf.DUMMYFUNCTION("""COMPUTED_VALUE"""),"Основное мероприятие ""Формирование, хранение, ведение и организация использования информационных ресурсов топливно-энергетического комплекса, организационно-технологическое сопровождение функционирования государственной информационной системы топливно-эн"&amp;"ергетического комплекса""")</f>
        <v>Основное мероприятие "Формирование, хранение, ведение и организация использования информационных ресурсов топливно-энергетического комплекса, организационно-технологическое сопровождение функционирования государственной информационной системы топливно-энергетического комплекса"</v>
      </c>
      <c r="B982" s="101" t="str">
        <f ca="1">IFERROR(__xludf.DUMMYFUNCTION("""COMPUTED_VALUE"""),"индикатор")</f>
        <v>индикатор</v>
      </c>
    </row>
    <row r="983" spans="1:2" ht="13">
      <c r="A983" s="101" t="str">
        <f ca="1">IFERROR(__xludf.DUMMYFUNCTION("""COMPUTED_VALUE"""),"Основное мероприятие ""Реализация функций аппарата ответственного исполнителя государственной программы""")</f>
        <v>Основное мероприятие "Реализация функций аппарата ответственного исполнителя государственной программы"</v>
      </c>
      <c r="B983" s="101" t="str">
        <f ca="1">IFERROR(__xludf.DUMMYFUNCTION("""COMPUTED_VALUE"""),"индикатор")</f>
        <v>индикатор</v>
      </c>
    </row>
    <row r="984" spans="1:2" ht="13">
      <c r="A984" s="101" t="str">
        <f ca="1">IFERROR(__xludf.DUMMYFUNCTION("""COMPUTED_VALUE"""),"Основное мероприятие ""Развитие международного сотрудничества""")</f>
        <v>Основное мероприятие "Развитие международного сотрудничества"</v>
      </c>
      <c r="B984" s="101" t="str">
        <f ca="1">IFERROR(__xludf.DUMMYFUNCTION("""COMPUTED_VALUE"""),"индикатор")</f>
        <v>индикатор</v>
      </c>
    </row>
    <row r="985" spans="1:2" ht="13">
      <c r="A985" s="101" t="str">
        <f ca="1">IFERROR(__xludf.DUMMYFUNCTION("""COMPUTED_VALUE"""),"Основное мероприятие ""Развитие заправочной инфраструктуры компримированного природного газа""")</f>
        <v>Основное мероприятие "Развитие заправочной инфраструктуры компримированного природного газа"</v>
      </c>
      <c r="B985" s="101" t="str">
        <f ca="1">IFERROR(__xludf.DUMMYFUNCTION("""COMPUTED_VALUE"""),"индикатор")</f>
        <v>индикатор</v>
      </c>
    </row>
    <row r="986" spans="1:2" ht="13">
      <c r="A986" s="101" t="str">
        <f ca="1">IFERROR(__xludf.DUMMYFUNCTION("""COMPUTED_VALUE"""),"Основное мероприятие ""Поддержка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f>
        <v>Основное мероприятие "Поддержка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v>
      </c>
      <c r="B986" s="101" t="str">
        <f ca="1">IFERROR(__xludf.DUMMYFUNCTION("""COMPUTED_VALUE"""),"индикатор")</f>
        <v>индикатор</v>
      </c>
    </row>
    <row r="987" spans="1:2" ht="13">
      <c r="A987" s="101" t="str">
        <f ca="1">IFERROR(__xludf.DUMMYFUNCTION("""COMPUTED_VALUE"""),"Основное мероприятие ""Развитие производственной и заправочной инфраструктуры сжиженного природного газа""")</f>
        <v>Основное мероприятие "Развитие производственной и заправочной инфраструктуры сжиженного природного газа"</v>
      </c>
      <c r="B987" s="101" t="str">
        <f ca="1">IFERROR(__xludf.DUMMYFUNCTION("""COMPUTED_VALUE"""),"индикатор")</f>
        <v>индикатор</v>
      </c>
    </row>
    <row r="988" spans="1:2" ht="13">
      <c r="A988" s="101" t="str">
        <f ca="1">IFERROR(__xludf.DUMMYFUNCTION("""COMPUTED_VALUE"""),"Основное мероприятие ""Обеспечение комплектования Вооруженных Сил Российской Федерации""")</f>
        <v>Основное мероприятие "Обеспечение комплектования Вооруженных Сил Российской Федерации"</v>
      </c>
      <c r="B988" s="101" t="str">
        <f ca="1">IFERROR(__xludf.DUMMYFUNCTION("""COMPUTED_VALUE"""),"индикатор")</f>
        <v>индикатор</v>
      </c>
    </row>
    <row r="989" spans="1:2" ht="13">
      <c r="A989" s="101" t="str">
        <f ca="1">IFERROR(__xludf.DUMMYFUNCTION("""COMPUTED_VALUE"""),"Основное мероприятие ""Совершенствование системы подготовки Вооруженных Сил Российской Федерации""")</f>
        <v>Основное мероприятие "Совершенствование системы подготовки Вооруженных Сил Российской Федерации"</v>
      </c>
      <c r="B989" s="101" t="str">
        <f ca="1">IFERROR(__xludf.DUMMYFUNCTION("""COMPUTED_VALUE"""),"индикатор")</f>
        <v>индикатор</v>
      </c>
    </row>
    <row r="990" spans="1:2" ht="13">
      <c r="A990" s="101" t="str">
        <f ca="1">IFERROR(__xludf.DUMMYFUNCTION("""COMPUTED_VALUE"""),"Основное мероприятие ""Совершенствование работы с личным составом Вооруженных Сил Российской Федерации""")</f>
        <v>Основное мероприятие "Совершенствование работы с личным составом Вооруженных Сил Российской Федерации"</v>
      </c>
      <c r="B990" s="101" t="str">
        <f ca="1">IFERROR(__xludf.DUMMYFUNCTION("""COMPUTED_VALUE"""),"индикатор")</f>
        <v>индикатор</v>
      </c>
    </row>
    <row r="991" spans="1:2" ht="13">
      <c r="A991" s="101" t="str">
        <f ca="1">IFERROR(__xludf.DUMMYFUNCTION("""COMPUTED_VALUE"""),"Основное мероприятие ""Совершенствование системы материально-технического обеспечения Вооруженных Сил Российской Федерации""")</f>
        <v>Основное мероприятие "Совершенствование системы материально-технического обеспечения Вооруженных Сил Российской Федерации"</v>
      </c>
      <c r="B991" s="101" t="str">
        <f ca="1">IFERROR(__xludf.DUMMYFUNCTION("""COMPUTED_VALUE"""),"индикатор")</f>
        <v>индикатор</v>
      </c>
    </row>
    <row r="992" spans="1:2" ht="13">
      <c r="A992" s="101" t="str">
        <f ca="1">IFERROR(__xludf.DUMMYFUNCTION("""COMPUTED_VALUE"""),"Основное мероприятие ""Обеспечение связью Вооруженных Сил Российской Федерации""")</f>
        <v>Основное мероприятие "Обеспечение связью Вооруженных Сил Российской Федерации"</v>
      </c>
      <c r="B992" s="101" t="str">
        <f ca="1">IFERROR(__xludf.DUMMYFUNCTION("""COMPUTED_VALUE"""),"индикатор")</f>
        <v>индикатор</v>
      </c>
    </row>
    <row r="993" spans="1:2" ht="13">
      <c r="A993" s="101" t="str">
        <f ca="1">IFERROR(__xludf.DUMMYFUNCTION("""COMPUTED_VALUE"""),"Основное мероприятие ""Поддержание в готовности системы управления Министерства обороны Российской Федерации""")</f>
        <v>Основное мероприятие "Поддержание в готовности системы управления Министерства обороны Российской Федерации"</v>
      </c>
      <c r="B993" s="101" t="str">
        <f ca="1">IFERROR(__xludf.DUMMYFUNCTION("""COMPUTED_VALUE"""),"индикатор")</f>
        <v>индикатор</v>
      </c>
    </row>
    <row r="994" spans="1:2" ht="13">
      <c r="A994" s="101" t="str">
        <f ca="1">IFERROR(__xludf.DUMMYFUNCTION("""COMPUTED_VALUE"""),"Основное мероприятие ""Инспекционная деятельность""")</f>
        <v>Основное мероприятие "Инспекционная деятельность"</v>
      </c>
      <c r="B994" s="101" t="str">
        <f ca="1">IFERROR(__xludf.DUMMYFUNCTION("""COMPUTED_VALUE"""),"индикатор")</f>
        <v>индикатор</v>
      </c>
    </row>
    <row r="995" spans="1:2" ht="13">
      <c r="A995" s="101" t="str">
        <f ca="1">IFERROR(__xludf.DUMMYFUNCTION("""COMPUTED_VALUE"""),"Основное мероприятие ""Обеспечение военного сотрудничества с иностранными государствами""")</f>
        <v>Основное мероприятие "Обеспечение военного сотрудничества с иностранными государствами"</v>
      </c>
      <c r="B995" s="101" t="str">
        <f ca="1">IFERROR(__xludf.DUMMYFUNCTION("""COMPUTED_VALUE"""),"индикатор")</f>
        <v>индикатор</v>
      </c>
    </row>
    <row r="996" spans="1:2" ht="13">
      <c r="A996" s="101" t="str">
        <f ca="1">IFERROR(__xludf.DUMMYFUNCTION("""COMPUTED_VALUE"""),"Основное мероприятие ""Обеспечение развития технических систем контроля исполнения международных договоров""")</f>
        <v>Основное мероприятие "Обеспечение развития технических систем контроля исполнения международных договоров"</v>
      </c>
      <c r="B996" s="101" t="str">
        <f ca="1">IFERROR(__xludf.DUMMYFUNCTION("""COMPUTED_VALUE"""),"индикатор")</f>
        <v>индикатор</v>
      </c>
    </row>
    <row r="997" spans="1:2" ht="13">
      <c r="A997" s="101" t="str">
        <f ca="1">IFERROR(__xludf.DUMMYFUNCTION("""COMPUTED_VALUE"""),"Основное мероприятие ""Обеспечение денежным довольствием военнослужащих, заработной платой гражданского персонала, а также выплата пособий и компенсаций""")</f>
        <v>Основное мероприятие "Обеспечение денежным довольствием военнослужащих, заработной платой гражданского персонала, а также выплата пособий и компенсаций"</v>
      </c>
      <c r="B997" s="101" t="str">
        <f ca="1">IFERROR(__xludf.DUMMYFUNCTION("""COMPUTED_VALUE"""),"индикатор")</f>
        <v>индикатор</v>
      </c>
    </row>
    <row r="998" spans="1:2" ht="13">
      <c r="A998" s="101" t="str">
        <f ca="1">IFERROR(__xludf.DUMMYFUNCTION("""COMPUTED_VALUE"""),"Основное мероприятие ""Обеспечение страхования в Вооруженных Силах Российской Федерации""")</f>
        <v>Основное мероприятие "Обеспечение страхования в Вооруженных Силах Российской Федерации"</v>
      </c>
      <c r="B998" s="101" t="str">
        <f ca="1">IFERROR(__xludf.DUMMYFUNCTION("""COMPUTED_VALUE"""),"индикатор")</f>
        <v>индикатор</v>
      </c>
    </row>
    <row r="999" spans="1:2" ht="13">
      <c r="A999" s="101" t="str">
        <f ca="1">IFERROR(__xludf.DUMMYFUNCTION("""COMPUTED_VALUE"""),"Основное мероприятие ""Реализация иных социальных гарантий военнослужащих, лиц гражданского персонала, граждан, уволенных с военной службы, и членов их семей""")</f>
        <v>Основное мероприятие "Реализация иных социальных гарантий военнослужащих, лиц гражданского персонала, граждан, уволенных с военной службы, и членов их семей"</v>
      </c>
      <c r="B999" s="101" t="str">
        <f ca="1">IFERROR(__xludf.DUMMYFUNCTION("""COMPUTED_VALUE"""),"индикатор")</f>
        <v>индикатор</v>
      </c>
    </row>
    <row r="1000" spans="1:2" ht="13">
      <c r="A1000" s="101" t="str">
        <f ca="1">IFERROR(__xludf.DUMMYFUNCTION("""COMPUTED_VALUE"""),"Основное мероприятие ""Жилищное обеспечение военнослужащих""")</f>
        <v>Основное мероприятие "Жилищное обеспечение военнослужащих"</v>
      </c>
      <c r="B1000" s="101" t="str">
        <f ca="1">IFERROR(__xludf.DUMMYFUNCTION("""COMPUTED_VALUE"""),"индикатор")</f>
        <v>индикатор</v>
      </c>
    </row>
    <row r="1001" spans="1:2" ht="13">
      <c r="A1001" s="101" t="str">
        <f ca="1">IFERROR(__xludf.DUMMYFUNCTION("""COMPUTED_VALUE"""),"Федеральная целевая программа ""Создание системы базирования Черноморского флота на территории Российской Федерации в 2005 - 2021 годах""")</f>
        <v>Федеральная целевая программа "Создание системы базирования Черноморского флота на территории Российской Федерации в 2005 - 2021 годах"</v>
      </c>
      <c r="B1001" s="101" t="str">
        <f ca="1">IFERROR(__xludf.DUMMYFUNCTION("""COMPUTED_VALUE"""),"индикатор")</f>
        <v>индикатор</v>
      </c>
    </row>
    <row r="1002" spans="1:2" ht="13">
      <c r="A1002" s="101" t="str">
        <f ca="1">IFERROR(__xludf.DUMMYFUNCTION("""COMPUTED_VALUE"""),"Федеральная целевая программа ""Промышленная утилизация вооружения и военной техники на 2011 - 2015 годы и на период до 2020 года""")</f>
        <v>Федеральная целевая программа "Промышленная утилизация вооружения и военной техники на 2011 - 2015 годы и на период до 2020 года"</v>
      </c>
      <c r="B1002" s="101" t="str">
        <f ca="1">IFERROR(__xludf.DUMMYFUNCTION("""COMPUTED_VALUE"""),"индикатор")</f>
        <v>индикатор</v>
      </c>
    </row>
    <row r="1003" spans="1:2" ht="13">
      <c r="A1003" s="101" t="str">
        <f ca="1">IFERROR(__xludf.DUMMYFUNCTION("""COMPUTED_VALUE"""),"Основное мероприятие ""Прикладные научные исследования в области утилизации вооружения и военной техники""")</f>
        <v>Основное мероприятие "Прикладные научные исследования в области утилизации вооружения и военной техники"</v>
      </c>
      <c r="B1003" s="101" t="str">
        <f ca="1">IFERROR(__xludf.DUMMYFUNCTION("""COMPUTED_VALUE"""),"индикатор")</f>
        <v>индикатор</v>
      </c>
    </row>
    <row r="1004" spans="1:2" ht="13">
      <c r="A1004" s="101" t="str">
        <f ca="1">IFERROR(__xludf.DUMMYFUNCTION("""COMPUTED_VALUE"""),"Основное мероприятие ""Выполнение мероприятий по утилизации вооружения и военной техники, а также реконструкции объектов медико-санитарного назначения""")</f>
        <v>Основное мероприятие "Выполнение мероприятий по утилизации вооружения и военной техники, а также реконструкции объектов медико-санитарного назначения"</v>
      </c>
      <c r="B1004" s="101" t="str">
        <f ca="1">IFERROR(__xludf.DUMMYFUNCTION("""COMPUTED_VALUE"""),"индикатор")</f>
        <v>индикатор</v>
      </c>
    </row>
    <row r="1005" spans="1:2" ht="13">
      <c r="A1005" s="101" t="str">
        <f ca="1">IFERROR(__xludf.DUMMYFUNCTION("""COMPUTED_VALUE"""),"Федеральная целевая программа ""Увековечение памяти погибших при защите Отечества на 2019 - 2024 годы""")</f>
        <v>Федеральная целевая программа "Увековечение памяти погибших при защите Отечества на 2019 - 2024 годы"</v>
      </c>
      <c r="B1005" s="101" t="str">
        <f ca="1">IFERROR(__xludf.DUMMYFUNCTION("""COMPUTED_VALUE"""),"индикатор")</f>
        <v>индикатор</v>
      </c>
    </row>
    <row r="1006" spans="1:2" ht="13">
      <c r="A1006" s="101" t="str">
        <f ca="1">IFERROR(__xludf.DUMMYFUNCTION("""COMPUTED_VALUE"""),"Основное мероприятие ""Укрепление международного сотрудничества в сфере противодействия легализации (отмыванию) доходов, полученных преступным путем, и финансированию терроризма и расширение информационного взаимодействия""")</f>
        <v>Основное мероприятие "Укрепление международного сотрудничества в сфере противодействия легализации (отмыванию) доходов, полученных преступным путем, и финансированию терроризма и расширение информационного взаимодействия"</v>
      </c>
      <c r="B1006" s="101" t="str">
        <f ca="1">IFERROR(__xludf.DUMMYFUNCTION("""COMPUTED_VALUE"""),"индикатор")</f>
        <v>индикатор</v>
      </c>
    </row>
    <row r="1007" spans="1:2" ht="13">
      <c r="A1007" s="101" t="str">
        <f ca="1">IFERROR(__xludf.DUMMYFUNCTION("""COMPUTED_VALUE"""),"Основное мероприятие ""Укрепление и развитие информационно-технологической базы противодействия легализации (отмыванию) доходов, полученных преступным путем, и финансированию терроризма""")</f>
        <v>Основное мероприятие "Укрепление и развитие информационно-технологической базы противодействия легализации (отмыванию) доходов, полученных преступным путем, и финансированию терроризма"</v>
      </c>
      <c r="B1007" s="101" t="str">
        <f ca="1">IFERROR(__xludf.DUMMYFUNCTION("""COMPUTED_VALUE"""),"индикатор")</f>
        <v>индикатор</v>
      </c>
    </row>
    <row r="1008" spans="1:2" ht="13">
      <c r="A1008" s="101" t="str">
        <f ca="1">IFERROR(__xludf.DUMMYFUNCTION("""COMPUTED_VALUE"""),"Основное мероприятие ""Содержание аппаратов управления""")</f>
        <v>Основное мероприятие "Содержание аппаратов управления"</v>
      </c>
      <c r="B1008" s="101" t="str">
        <f ca="1">IFERROR(__xludf.DUMMYFUNCTION("""COMPUTED_VALUE"""),"индикатор")</f>
        <v>индикатор</v>
      </c>
    </row>
    <row r="1009" spans="1:2" ht="13">
      <c r="A1009" s="101" t="str">
        <f ca="1">IFERROR(__xludf.DUMMYFUNCTION("""COMPUTED_VALUE"""),"Основное мероприятие ""Создание и развитие территорий опережающего социально-экономического развития в Дальневосточном федеральном округе""")</f>
        <v>Основное мероприятие "Создание и развитие территорий опережающего социально-экономического развития в Дальневосточном федеральном округе"</v>
      </c>
      <c r="B1009" s="101" t="str">
        <f ca="1">IFERROR(__xludf.DUMMYFUNCTION("""COMPUTED_VALUE"""),"индикатор")</f>
        <v>индикатор</v>
      </c>
    </row>
    <row r="1010" spans="1:2" ht="13">
      <c r="A1010" s="101" t="str">
        <f ca="1">IFERROR(__xludf.DUMMYFUNCTION("""COMPUTED_VALUE"""),"Основное мероприятие ""Государственная поддержка инвестиционных проектов, реализуемых на территории Дальнего Востока""")</f>
        <v>Основное мероприятие "Государственная поддержка инвестиционных проектов, реализуемых на территории Дальнего Востока"</v>
      </c>
      <c r="B1010" s="101" t="str">
        <f ca="1">IFERROR(__xludf.DUMMYFUNCTION("""COMPUTED_VALUE"""),"индикатор")</f>
        <v>индикатор</v>
      </c>
    </row>
    <row r="1011" spans="1:2" ht="13">
      <c r="A1011" s="101" t="str">
        <f ca="1">IFERROR(__xludf.DUMMYFUNCTION("""COMPUTED_VALUE"""),"Основное мероприятие ""Реализация инвестиционных проектов на территории Дальнего Востока с участием акционерного общества ""Фонд развития Дальнего Востока и Арктики""")</f>
        <v>Основное мероприятие "Реализация инвестиционных проектов на территории Дальнего Востока с участием акционерного общества "Фонд развития Дальнего Востока и Арктики"</v>
      </c>
      <c r="B1011" s="101" t="str">
        <f ca="1">IFERROR(__xludf.DUMMYFUNCTION("""COMPUTED_VALUE"""),"индикатор")</f>
        <v>индикатор</v>
      </c>
    </row>
    <row r="1012" spans="1:2" ht="13">
      <c r="A1012" s="101" t="str">
        <f ca="1">IFERROR(__xludf.DUMMYFUNCTION("""COMPUTED_VALUE"""),"Основное мероприятие ""Содействие привлечению инвестиций и развитию человеческого капитала на территории Дальнего Востока""")</f>
        <v>Основное мероприятие "Содействие привлечению инвестиций и развитию человеческого капитала на территории Дальнего Востока"</v>
      </c>
      <c r="B1012" s="101" t="str">
        <f ca="1">IFERROR(__xludf.DUMMYFUNCTION("""COMPUTED_VALUE"""),"индикатор")</f>
        <v>индикатор</v>
      </c>
    </row>
    <row r="1013" spans="1:2" ht="13">
      <c r="A1013" s="101" t="str">
        <f ca="1">IFERROR(__xludf.DUMMYFUNCTION("""COMPUTED_VALUE"""),"Основное мероприятие ""Научно-методическое, информационное и организационное обеспечение реализации государственной программы""")</f>
        <v>Основное мероприятие "Научно-методическое, информационное и организационное обеспечение реализации государственной программы"</v>
      </c>
      <c r="B1013" s="101" t="str">
        <f ca="1">IFERROR(__xludf.DUMMYFUNCTION("""COMPUTED_VALUE"""),"индикатор")</f>
        <v>индикатор</v>
      </c>
    </row>
    <row r="1014" spans="1:2" ht="13">
      <c r="A1014" s="101" t="str">
        <f ca="1">IFERROR(__xludf.DUMMYFUNCTION("""COMPUTED_VALUE"""),"Основное мероприятие ""Обеспечение деятельности аппарата ответственного исполнителя""")</f>
        <v>Основное мероприятие "Обеспечение деятельности аппарата ответственного исполнителя"</v>
      </c>
      <c r="B1014" s="101" t="str">
        <f ca="1">IFERROR(__xludf.DUMMYFUNCTION("""COMPUTED_VALUE"""),"индикатор")</f>
        <v>индикатор</v>
      </c>
    </row>
    <row r="1015" spans="1:2" ht="13">
      <c r="A1015" s="101" t="str">
        <f ca="1">IFERROR(__xludf.DUMMYFUNCTION("""COMPUTED_VALUE"""),"Основное мероприятие ""Развитие центров экономического роста субъектов Российской Федерации, входящих в состав Дальневосточного федерального округа""")</f>
        <v>Основное мероприятие "Развитие центров экономического роста субъектов Российской Федерации, входящих в состав Дальневосточного федерального округа"</v>
      </c>
      <c r="B1015" s="101" t="str">
        <f ca="1">IFERROR(__xludf.DUMMYFUNCTION("""COMPUTED_VALUE"""),"индикатор")</f>
        <v>индикатор</v>
      </c>
    </row>
    <row r="1016" spans="1:2" ht="13">
      <c r="A1016" s="101" t="str">
        <f ca="1">IFERROR(__xludf.DUMMYFUNCTION("""COMPUTED_VALUE"""),"Федеральная целевая программа ""Социально-экономическое развитие Курильских островов (Сахалинская область) на 2016 - 2025 годы""")</f>
        <v>Федеральная целевая программа "Социально-экономическое развитие Курильских островов (Сахалинская область) на 2016 - 2025 годы"</v>
      </c>
      <c r="B1016" s="101" t="str">
        <f ca="1">IFERROR(__xludf.DUMMYFUNCTION("""COMPUTED_VALUE"""),"индикатор")</f>
        <v>индикатор</v>
      </c>
    </row>
    <row r="1017" spans="1:2" ht="13">
      <c r="A1017" s="101" t="str">
        <f ca="1">IFERROR(__xludf.DUMMYFUNCTION("""COMPUTED_VALUE"""),"Основное мероприятие ""Реализация проектов по социально-экономическому развитию Ставропольского края""")</f>
        <v>Основное мероприятие "Реализация проектов по социально-экономическому развитию Ставропольского края"</v>
      </c>
      <c r="B1017" s="101" t="str">
        <f ca="1">IFERROR(__xludf.DUMMYFUNCTION("""COMPUTED_VALUE"""),"индикатор")</f>
        <v>индикатор</v>
      </c>
    </row>
    <row r="1018" spans="1:2" ht="13">
      <c r="A1018" s="101" t="str">
        <f ca="1">IFERROR(__xludf.DUMMYFUNCTION("""COMPUTED_VALUE"""),"Основное мероприятие ""Реализация проектов по социально-экономическому развитию Республики Северная Осетия - Алания""")</f>
        <v>Основное мероприятие "Реализация проектов по социально-экономическому развитию Республики Северная Осетия - Алания"</v>
      </c>
      <c r="B1018" s="101" t="str">
        <f ca="1">IFERROR(__xludf.DUMMYFUNCTION("""COMPUTED_VALUE"""),"индикатор")</f>
        <v>индикатор</v>
      </c>
    </row>
    <row r="1019" spans="1:2" ht="13">
      <c r="A1019" s="101" t="str">
        <f ca="1">IFERROR(__xludf.DUMMYFUNCTION("""COMPUTED_VALUE"""),"Основное мероприятие ""Реализация проектов по социально-экономическому развитию Республики Ингушетия""")</f>
        <v>Основное мероприятие "Реализация проектов по социально-экономическому развитию Республики Ингушетия"</v>
      </c>
      <c r="B1019" s="101" t="str">
        <f ca="1">IFERROR(__xludf.DUMMYFUNCTION("""COMPUTED_VALUE"""),"индикатор")</f>
        <v>индикатор</v>
      </c>
    </row>
    <row r="1020" spans="1:2" ht="13">
      <c r="A1020" s="101" t="str">
        <f ca="1">IFERROR(__xludf.DUMMYFUNCTION("""COMPUTED_VALUE"""),"Основное мероприятие ""Реализация проектов по социально-экономическому развитию Карачаево-Черкесской Республики""")</f>
        <v>Основное мероприятие "Реализация проектов по социально-экономическому развитию Карачаево-Черкесской Республики"</v>
      </c>
      <c r="B1020" s="101" t="str">
        <f ca="1">IFERROR(__xludf.DUMMYFUNCTION("""COMPUTED_VALUE"""),"индикатор")</f>
        <v>индикатор</v>
      </c>
    </row>
    <row r="1021" spans="1:2" ht="13">
      <c r="A1021" s="101" t="str">
        <f ca="1">IFERROR(__xludf.DUMMYFUNCTION("""COMPUTED_VALUE"""),"Основное мероприятие ""Реализация проектов по социально-экономическому развитию Кабардино-Балкарской Республики""")</f>
        <v>Основное мероприятие "Реализация проектов по социально-экономическому развитию Кабардино-Балкарской Республики"</v>
      </c>
      <c r="B1021" s="101" t="str">
        <f ca="1">IFERROR(__xludf.DUMMYFUNCTION("""COMPUTED_VALUE"""),"индикатор")</f>
        <v>индикатор</v>
      </c>
    </row>
    <row r="1022" spans="1:2" ht="13">
      <c r="A1022" s="101" t="str">
        <f ca="1">IFERROR(__xludf.DUMMYFUNCTION("""COMPUTED_VALUE"""),"Основное мероприятие ""Реализация проектов по социально-экономическому развитию Республики Дагестан""")</f>
        <v>Основное мероприятие "Реализация проектов по социально-экономическому развитию Республики Дагестан"</v>
      </c>
      <c r="B1022" s="101" t="str">
        <f ca="1">IFERROR(__xludf.DUMMYFUNCTION("""COMPUTED_VALUE"""),"индикатор")</f>
        <v>индикатор</v>
      </c>
    </row>
    <row r="1023" spans="1:2" ht="13">
      <c r="A1023" s="101" t="str">
        <f ca="1">IFERROR(__xludf.DUMMYFUNCTION("""COMPUTED_VALUE"""),"Основное мероприятие ""Реализация проектов по социально-экономическому развитию Чеченской Республики""")</f>
        <v>Основное мероприятие "Реализация проектов по социально-экономическому развитию Чеченской Республики"</v>
      </c>
      <c r="B1023" s="101" t="str">
        <f ca="1">IFERROR(__xludf.DUMMYFUNCTION("""COMPUTED_VALUE"""),"индикатор")</f>
        <v>индикатор</v>
      </c>
    </row>
    <row r="1024" spans="1:2" ht="13">
      <c r="A1024" s="101" t="str">
        <f ca="1">IFERROR(__xludf.DUMMYFUNCTION("""COMPUTED_VALUE"""),"Основное мероприятие ""Создание объектов инфраструктуры особых экономических зон туристического кластера в Северо-Кавказском федеральном округе""")</f>
        <v>Основное мероприятие "Создание объектов инфраструктуры особых экономических зон туристического кластера в Северо-Кавказском федеральном округе"</v>
      </c>
      <c r="B1024" s="101" t="str">
        <f ca="1">IFERROR(__xludf.DUMMYFUNCTION("""COMPUTED_VALUE"""),"индикатор")</f>
        <v>индикатор</v>
      </c>
    </row>
    <row r="1025" spans="1:2" ht="13">
      <c r="A1025" s="101" t="str">
        <f ca="1">IFERROR(__xludf.DUMMYFUNCTION("""COMPUTED_VALUE"""),"Основное мероприятие ""Создание и развитие системы управления туризмом в Северо-Кавказском федеральном округе""")</f>
        <v>Основное мероприятие "Создание и развитие системы управления туризмом в Северо-Кавказском федеральном округе"</v>
      </c>
      <c r="B1025" s="101" t="str">
        <f ca="1">IFERROR(__xludf.DUMMYFUNCTION("""COMPUTED_VALUE"""),"индикатор")</f>
        <v>индикатор</v>
      </c>
    </row>
    <row r="1026" spans="1:2" ht="13">
      <c r="A1026" s="101" t="str">
        <f ca="1">IFERROR(__xludf.DUMMYFUNCTION("""COMPUTED_VALUE"""),"Основное мероприятие ""Создание всесезонного туристско-рекреационного комплекса ""Мамисон"" в составе туристско-рекреационной особой экономической зоны""")</f>
        <v>Основное мероприятие "Создание всесезонного туристско-рекреационного комплекса "Мамисон" в составе туристско-рекреационной особой экономической зоны"</v>
      </c>
      <c r="B1026" s="101" t="str">
        <f ca="1">IFERROR(__xludf.DUMMYFUNCTION("""COMPUTED_VALUE"""),"индикатор")</f>
        <v>индикатор</v>
      </c>
    </row>
    <row r="1027" spans="1:2" ht="13">
      <c r="A1027" s="101" t="str">
        <f ca="1">IFERROR(__xludf.DUMMYFUNCTION("""COMPUTED_VALUE"""),"Основное мероприятие ""Развитие города-курорта Пятигорска""")</f>
        <v>Основное мероприятие "Развитие города-курорта Пятигорска"</v>
      </c>
      <c r="B1027" s="101" t="str">
        <f ca="1">IFERROR(__xludf.DUMMYFUNCTION("""COMPUTED_VALUE"""),"индикатор")</f>
        <v>индикатор</v>
      </c>
    </row>
    <row r="1028" spans="1:2" ht="13">
      <c r="A1028" s="101" t="str">
        <f ca="1">IFERROR(__xludf.DUMMYFUNCTION("""COMPUTED_VALUE"""),"Основное мероприятие ""Развитие города-курорта Кисловодска""")</f>
        <v>Основное мероприятие "Развитие города-курорта Кисловодска"</v>
      </c>
      <c r="B1028" s="101" t="str">
        <f ca="1">IFERROR(__xludf.DUMMYFUNCTION("""COMPUTED_VALUE"""),"индикатор")</f>
        <v>индикатор</v>
      </c>
    </row>
    <row r="1029" spans="1:2" ht="13">
      <c r="A1029" s="101" t="str">
        <f ca="1">IFERROR(__xludf.DUMMYFUNCTION("""COMPUTED_VALUE"""),"Основное мероприятие ""Обеспечение деятельности Минкавказа России""")</f>
        <v>Основное мероприятие "Обеспечение деятельности Минкавказа России"</v>
      </c>
      <c r="B1029" s="101" t="str">
        <f ca="1">IFERROR(__xludf.DUMMYFUNCTION("""COMPUTED_VALUE"""),"индикатор")</f>
        <v>индикатор</v>
      </c>
    </row>
    <row r="1030" spans="1:2" ht="13">
      <c r="A1030" s="101" t="str">
        <f ca="1">IFERROR(__xludf.DUMMYFUNCTION("""COMPUTED_VALUE"""),"Основное мероприятие ""Развитие комплексного информационного ресурса, посвященного Северо-Кавказскому федеральному округу""")</f>
        <v>Основное мероприятие "Развитие комплексного информационного ресурса, посвященного Северо-Кавказскому федеральному округу"</v>
      </c>
      <c r="B1030" s="101" t="str">
        <f ca="1">IFERROR(__xludf.DUMMYFUNCTION("""COMPUTED_VALUE"""),"индикатор")</f>
        <v>индикатор</v>
      </c>
    </row>
    <row r="1031" spans="1:2" ht="13">
      <c r="A1031" s="101" t="str">
        <f ca="1">IFERROR(__xludf.DUMMYFUNCTION("""COMPUTED_VALUE"""),"Основное мероприятие ""Развитие инвестиционной среды в Северо-Кавказском федеральном округе""")</f>
        <v>Основное мероприятие "Развитие инвестиционной среды в Северо-Кавказском федеральном округе"</v>
      </c>
      <c r="B1031" s="101" t="str">
        <f ca="1">IFERROR(__xludf.DUMMYFUNCTION("""COMPUTED_VALUE"""),"индикатор")</f>
        <v>индикатор</v>
      </c>
    </row>
    <row r="1032" spans="1:2" ht="13">
      <c r="A1032" s="101" t="str">
        <f ca="1">IFERROR(__xludf.DUMMYFUNCTION("""COMPUTED_VALUE"""),"Основное мероприятие ""Продвижение экспортных и инвестиционных возможностей регионов Северо-Кавказского федерального округа""")</f>
        <v>Основное мероприятие "Продвижение экспортных и инвестиционных возможностей регионов Северо-Кавказского федерального округа"</v>
      </c>
      <c r="B1032" s="101" t="str">
        <f ca="1">IFERROR(__xludf.DUMMYFUNCTION("""COMPUTED_VALUE"""),"индикатор")</f>
        <v>индикатор</v>
      </c>
    </row>
    <row r="1033" spans="1:2" ht="13">
      <c r="A1033" s="101" t="str">
        <f ca="1">IFERROR(__xludf.DUMMYFUNCTION("""COMPUTED_VALUE"""),"Основное мероприятие ""Повышение эффективности предоставления и использования субвенций""")</f>
        <v>Основное мероприятие "Повышение эффективности предоставления и использования субвенций"</v>
      </c>
      <c r="B1033" s="101" t="str">
        <f ca="1">IFERROR(__xludf.DUMMYFUNCTION("""COMPUTED_VALUE"""),"индикатор")</f>
        <v>индикатор</v>
      </c>
    </row>
    <row r="1034" spans="1:2" ht="13">
      <c r="A1034" s="101" t="str">
        <f ca="1">IFERROR(__xludf.DUMMYFUNCTION("""COMPUTED_VALUE"""),"Основное мероприятие ""Выравнивание бюджетной обеспеченности субъектов Российской Федерации""")</f>
        <v>Основное мероприятие "Выравнивание бюджетной обеспеченности субъектов Российской Федерации"</v>
      </c>
      <c r="B1034" s="101" t="str">
        <f ca="1">IFERROR(__xludf.DUMMYFUNCTION("""COMPUTED_VALUE"""),"индикатор")</f>
        <v>индикатор</v>
      </c>
    </row>
    <row r="1035" spans="1:2" ht="13">
      <c r="A1035" s="101" t="str">
        <f ca="1">IFERROR(__xludf.DUMMYFUNCTION("""COMPUTED_VALUE"""),"Основное мероприятие ""Поддержка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 возникших в результате решений, принятых органами власти другого уровня""")</f>
        <v>Основное мероприятие "Поддержка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 возникших в результате решений, принятых органами власти другого уровня"</v>
      </c>
      <c r="B1035" s="101" t="str">
        <f ca="1">IFERROR(__xludf.DUMMYFUNCTION("""COMPUTED_VALUE"""),"индикатор")</f>
        <v>индикатор</v>
      </c>
    </row>
    <row r="1036" spans="1:2" ht="13">
      <c r="A1036" s="101" t="str">
        <f ca="1">IFERROR(__xludf.DUMMYFUNCTION("""COMPUTED_VALUE"""),"Основное мероприятие ""Создание условий для устойчивого исполнения бюджетов закрытых административно-территориальных образований""")</f>
        <v>Основное мероприятие "Создание условий для устойчивого исполнения бюджетов закрытых административно-территориальных образований"</v>
      </c>
      <c r="B1036" s="101" t="str">
        <f ca="1">IFERROR(__xludf.DUMMYFUNCTION("""COMPUTED_VALUE"""),"индикатор")</f>
        <v>индикатор</v>
      </c>
    </row>
    <row r="1037" spans="1:2" ht="13">
      <c r="A1037" s="101" t="str">
        <f ca="1">IFERROR(__xludf.DUMMYFUNCTION("""COMPUTED_VALUE"""),"Основное мероприятие ""Поощрение субъектов Российской Федерации в целях содействия достижению и (или) поощрения достижения наилучших значений показателей по итогам оценки эффективности деятельности органов исполнительной власти субъектов Российской Федера"&amp;"ции""")</f>
        <v>Основное мероприятие "Поощрение субъектов Российской Федерации в целях содействия достижению и (или) поощрения достижения наилучших значений показателей по итогам оценки эффективности деятельности органов исполнительной власти субъектов Российской Федерации"</v>
      </c>
      <c r="B1037" s="101" t="str">
        <f ca="1">IFERROR(__xludf.DUMMYFUNCTION("""COMPUTED_VALUE"""),"индикатор")</f>
        <v>индикатор</v>
      </c>
    </row>
    <row r="1038" spans="1:2" ht="13">
      <c r="A1038" s="101" t="str">
        <f ca="1">IFERROR(__xludf.DUMMYFUNCTION("""COMPUTED_VALUE"""),"Основное мероприятие ""Поощрение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f>
        <v>Основное мероприятие "Поощрение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v>
      </c>
      <c r="B1038" s="101" t="str">
        <f ca="1">IFERROR(__xludf.DUMMYFUNCTION("""COMPUTED_VALUE"""),"индикатор")</f>
        <v>индикатор</v>
      </c>
    </row>
    <row r="1039" spans="1:2" ht="13">
      <c r="A1039" s="101" t="str">
        <f ca="1">IFERROR(__xludf.DUMMYFUNCTION("""COMPUTED_VALUE"""),"Основное мероприятие ""Государственная поддержка организаций, осуществляющих свою деятельность на территории Калининградской области""")</f>
        <v>Основное мероприятие "Государственная поддержка организаций, осуществляющих свою деятельность на территории Калининградской области"</v>
      </c>
      <c r="B1039" s="101" t="str">
        <f ca="1">IFERROR(__xludf.DUMMYFUNCTION("""COMPUTED_VALUE"""),"индикатор")</f>
        <v>индикатор</v>
      </c>
    </row>
    <row r="1040" spans="1:2" ht="13">
      <c r="A1040" s="101" t="str">
        <f ca="1">IFERROR(__xludf.DUMMYFUNCTION("""COMPUTED_VALUE"""),"Основное мероприятие ""Социально-экономическое развитие Калининградской области""")</f>
        <v>Основное мероприятие "Социально-экономическое развитие Калининградской области"</v>
      </c>
      <c r="B1040" s="101" t="str">
        <f ca="1">IFERROR(__xludf.DUMMYFUNCTION("""COMPUTED_VALUE"""),"индикатор")</f>
        <v>индикатор</v>
      </c>
    </row>
    <row r="1041" spans="1:2" ht="13">
      <c r="A1041" s="101" t="str">
        <f ca="1">IFERROR(__xludf.DUMMYFUNCTION("""COMPUTED_VALUE"""),"Федеральная целевая программа развития Калининградской области на период до 2020 года")</f>
        <v>Федеральная целевая программа развития Калининградской области на период до 2020 года</v>
      </c>
      <c r="B1041" s="101" t="str">
        <f ca="1">IFERROR(__xludf.DUMMYFUNCTION("""COMPUTED_VALUE"""),"индикатор")</f>
        <v>индикатор</v>
      </c>
    </row>
    <row r="1042" spans="1:2" ht="13">
      <c r="A1042" s="101" t="str">
        <f ca="1">IFERROR(__xludf.DUMMYFUNCTION("""COMPUTED_VALUE"""),"Основное мероприятие ""Оптимизация бюджетного процесса""")</f>
        <v>Основное мероприятие "Оптимизация бюджетного процесса"</v>
      </c>
      <c r="B1042" s="101" t="str">
        <f ca="1">IFERROR(__xludf.DUMMYFUNCTION("""COMPUTED_VALUE"""),"индикатор")</f>
        <v>индикатор</v>
      </c>
    </row>
    <row r="1043" spans="1:2" ht="13">
      <c r="A1043" s="101" t="str">
        <f ca="1">IFERROR(__xludf.DUMMYFUNCTION("""COMPUTED_VALUE"""),"Основное мероприятие ""Повышение операционной эффективности бюджетных расходов""")</f>
        <v>Основное мероприятие "Повышение операционной эффективности бюджетных расходов"</v>
      </c>
      <c r="B1043" s="101" t="str">
        <f ca="1">IFERROR(__xludf.DUMMYFUNCTION("""COMPUTED_VALUE"""),"индикатор")</f>
        <v>индикатор</v>
      </c>
    </row>
    <row r="1044" spans="1:2" ht="13">
      <c r="A1044" s="101" t="str">
        <f ca="1">IFERROR(__xludf.DUMMYFUNCTION("""COMPUTED_VALUE"""),"Основное мероприятие ""Совершенствование информационного обеспечения бюджетных правоотношений""")</f>
        <v>Основное мероприятие "Совершенствование информационного обеспечения бюджетных правоотношений"</v>
      </c>
      <c r="B1044" s="101" t="str">
        <f ca="1">IFERROR(__xludf.DUMMYFUNCTION("""COMPUTED_VALUE"""),"индикатор")</f>
        <v>индикатор</v>
      </c>
    </row>
    <row r="1045" spans="1:2" ht="13">
      <c r="A1045" s="101" t="str">
        <f ca="1">IFERROR(__xludf.DUMMYFUNCTION("""COMPUTED_VALUE"""),"Основное мероприятие ""Формирование института развития проектного финансирования""")</f>
        <v>Основное мероприятие "Формирование института развития проектного финансирования"</v>
      </c>
      <c r="B1045" s="101" t="str">
        <f ca="1">IFERROR(__xludf.DUMMYFUNCTION("""COMPUTED_VALUE"""),"индикатор")</f>
        <v>индикатор</v>
      </c>
    </row>
    <row r="1046" spans="1:2" ht="13">
      <c r="A1046" s="101" t="str">
        <f ca="1">IFERROR(__xludf.DUMMYFUNCTION("""COMPUTED_VALUE"""),"Основное мероприятие ""Развитие системы налогового администрирования""")</f>
        <v>Основное мероприятие "Развитие системы налогового администрирования"</v>
      </c>
      <c r="B1046" s="101" t="str">
        <f ca="1">IFERROR(__xludf.DUMMYFUNCTION("""COMPUTED_VALUE"""),"индикатор")</f>
        <v>индикатор</v>
      </c>
    </row>
    <row r="1047" spans="1:2" ht="13">
      <c r="A1047" s="101" t="str">
        <f ca="1">IFERROR(__xludf.DUMMYFUNCTION("""COMPUTED_VALUE"""),"Основное мероприятие ""Осуществление государственных функций и оказание государственных услуг в сфере производства и оборота отдельных видов подакцизных товаров""")</f>
        <v>Основное мероприятие "Осуществление государственных функций и оказание государственных услуг в сфере производства и оборота отдельных видов подакцизных товаров"</v>
      </c>
      <c r="B1047" s="101" t="str">
        <f ca="1">IFERROR(__xludf.DUMMYFUNCTION("""COMPUTED_VALUE"""),"индикатор")</f>
        <v>индикатор</v>
      </c>
    </row>
    <row r="1048" spans="1:2" ht="13">
      <c r="A1048" s="101" t="str">
        <f ca="1">IFERROR(__xludf.DUMMYFUNCTION("""COMPUTED_VALUE"""),"Основное мероприятие ""Обеспечение интересов Российской Федерации как заемщика, кредитора и гаранта""")</f>
        <v>Основное мероприятие "Обеспечение интересов Российской Федерации как заемщика, кредитора и гаранта"</v>
      </c>
      <c r="B1048" s="101" t="str">
        <f ca="1">IFERROR(__xludf.DUMMYFUNCTION("""COMPUTED_VALUE"""),"индикатор")</f>
        <v>индикатор</v>
      </c>
    </row>
    <row r="1049" spans="1:2" ht="13">
      <c r="A1049" s="101" t="str">
        <f ca="1">IFERROR(__xludf.DUMMYFUNCTION("""COMPUTED_VALUE"""),"Основное мероприятие ""Обеспечение интересов Российской Федерации как акционера или участника (донора) международных финансовых институтов, фондов и программ""")</f>
        <v>Основное мероприятие "Обеспечение интересов Российской Федерации как акционера или участника (донора) международных финансовых институтов, фондов и программ"</v>
      </c>
      <c r="B1049" s="101" t="str">
        <f ca="1">IFERROR(__xludf.DUMMYFUNCTION("""COMPUTED_VALUE"""),"индикатор")</f>
        <v>индикатор</v>
      </c>
    </row>
    <row r="1050" spans="1:2" ht="13">
      <c r="A1050" s="101" t="str">
        <f ca="1">IFERROR(__xludf.DUMMYFUNCTION("""COMPUTED_VALUE"""),"Основное мероприятие ""Формирование и проведение государственной политики в сфере содействия международному развитию""")</f>
        <v>Основное мероприятие "Формирование и проведение государственной политики в сфере содействия международному развитию"</v>
      </c>
      <c r="B1050" s="101" t="str">
        <f ca="1">IFERROR(__xludf.DUMMYFUNCTION("""COMPUTED_VALUE"""),"индикатор")</f>
        <v>индикатор</v>
      </c>
    </row>
    <row r="1051" spans="1:2" ht="13">
      <c r="A1051" s="101" t="str">
        <f ca="1">IFERROR(__xludf.DUMMYFUNCTION("""COMPUTED_VALUE"""),"Основное мероприятие ""Координация подготовки и реализации проектов, осуществляемых в Российской Федерации при участии многосторонних банков развития""")</f>
        <v>Основное мероприятие "Координация подготовки и реализации проектов, осуществляемых в Российской Федерации при участии многосторонних банков развития"</v>
      </c>
      <c r="B1051" s="101" t="str">
        <f ca="1">IFERROR(__xludf.DUMMYFUNCTION("""COMPUTED_VALUE"""),"индикатор")</f>
        <v>индикатор</v>
      </c>
    </row>
    <row r="1052" spans="1:2" ht="13">
      <c r="A1052" s="101" t="str">
        <f ca="1">IFERROR(__xludf.DUMMYFUNCTION("""COMPUTED_VALUE"""),"Основное мероприятие ""Развитие финансового рынка, регулирование деятельности финансовых институтов и субъектов финансового рынка""")</f>
        <v>Основное мероприятие "Развитие финансового рынка, регулирование деятельности финансовых институтов и субъектов финансового рынка"</v>
      </c>
      <c r="B1052" s="101" t="str">
        <f ca="1">IFERROR(__xludf.DUMMYFUNCTION("""COMPUTED_VALUE"""),"индикатор")</f>
        <v>индикатор</v>
      </c>
    </row>
    <row r="1053" spans="1:2" ht="13">
      <c r="A1053" s="101" t="str">
        <f ca="1">IFERROR(__xludf.DUMMYFUNCTION("""COMPUTED_VALUE"""),"Основное мероприятие ""Повышение эффективности государственного регулирования и развития отрасли драгоценных металлов и драгоценных камней""")</f>
        <v>Основное мероприятие "Повышение эффективности государственного регулирования и развития отрасли драгоценных металлов и драгоценных камней"</v>
      </c>
      <c r="B1053" s="101" t="str">
        <f ca="1">IFERROR(__xludf.DUMMYFUNCTION("""COMPUTED_VALUE"""),"индикатор")</f>
        <v>индикатор</v>
      </c>
    </row>
    <row r="1054" spans="1:2" ht="13">
      <c r="A1054" s="101" t="str">
        <f ca="1">IFERROR(__xludf.DUMMYFUNCTION("""COMPUTED_VALUE"""),"Основное мероприятие ""Организация формирования Государственного фонда драгоценных металлов и драгоценных камней Российской Федерации""")</f>
        <v>Основное мероприятие "Организация формирования Государственного фонда драгоценных металлов и драгоценных камней Российской Федерации"</v>
      </c>
      <c r="B1054" s="101" t="str">
        <f ca="1">IFERROR(__xludf.DUMMYFUNCTION("""COMPUTED_VALUE"""),"индикатор")</f>
        <v>индикатор</v>
      </c>
    </row>
    <row r="1055" spans="1:2" ht="13">
      <c r="A1055" s="101" t="str">
        <f ca="1">IFERROR(__xludf.DUMMYFUNCTION("""COMPUTED_VALUE"""),"Основное мероприятие ""Сохранение и поддержание в надлежащем виде находящихся за рубежом российских (советских) воинских захоронений, мемориалов и памятников, а также мест погребения, имеющих для Российской Федерации историко-мемориальное значение""")</f>
        <v>Основное мероприятие "Сохранение и поддержание в надлежащем виде находящихся за рубежом российских (советских) воинских захоронений, мемориалов и памятников, а также мест погребения, имеющих для Российской Федерации историко-мемориальное значение"</v>
      </c>
      <c r="B1055" s="101" t="str">
        <f ca="1">IFERROR(__xludf.DUMMYFUNCTION("""COMPUTED_VALUE"""),"индикатор")</f>
        <v>индикатор</v>
      </c>
    </row>
    <row r="1056" spans="1:2" ht="13">
      <c r="A1056" s="101" t="str">
        <f ca="1">IFERROR(__xludf.DUMMYFUNCTION("""COMPUTED_VALUE"""),"Основное мероприятие ""Обеспечение участия Российской Федерации в деятельности международных организаций""")</f>
        <v>Основное мероприятие "Обеспечение участия Российской Федерации в деятельности международных организаций"</v>
      </c>
      <c r="B1056" s="101" t="str">
        <f ca="1">IFERROR(__xludf.DUMMYFUNCTION("""COMPUTED_VALUE"""),"индикатор")</f>
        <v>индикатор</v>
      </c>
    </row>
    <row r="1057" spans="1:2" ht="13">
      <c r="A1057" s="101" t="str">
        <f ca="1">IFERROR(__xludf.DUMMYFUNCTION("""COMPUTED_VALUE"""),"Основное мероприятие ""Оказание гуманитарной помощи иностранным государствам и эвакуация российских граждан""")</f>
        <v>Основное мероприятие "Оказание гуманитарной помощи иностранным государствам и эвакуация российских граждан"</v>
      </c>
      <c r="B1057" s="101" t="str">
        <f ca="1">IFERROR(__xludf.DUMMYFUNCTION("""COMPUTED_VALUE"""),"индикатор")</f>
        <v>индикатор</v>
      </c>
    </row>
    <row r="1058" spans="1:2" ht="13">
      <c r="A1058" s="101" t="str">
        <f ca="1">IFERROR(__xludf.DUMMYFUNCTION("""COMPUTED_VALUE"""),"Основное мероприятие ""Государственная поддержка отдельных некоммерческих организаций в сфере международного сотрудничества""")</f>
        <v>Основное мероприятие "Государственная поддержка отдельных некоммерческих организаций в сфере международного сотрудничества"</v>
      </c>
      <c r="B1058" s="101" t="str">
        <f ca="1">IFERROR(__xludf.DUMMYFUNCTION("""COMPUTED_VALUE"""),"индикатор")</f>
        <v>индикатор</v>
      </c>
    </row>
    <row r="1059" spans="1:2" ht="13">
      <c r="A1059" s="101" t="str">
        <f ca="1">IFERROR(__xludf.DUMMYFUNCTION("""COMPUTED_VALUE"""),"Основное мероприятие ""Оказание финансовой помощи Республике Южная Осетия""")</f>
        <v>Основное мероприятие "Оказание финансовой помощи Республике Южная Осетия"</v>
      </c>
      <c r="B1059" s="101" t="str">
        <f ca="1">IFERROR(__xludf.DUMMYFUNCTION("""COMPUTED_VALUE"""),"индикатор")</f>
        <v>индикатор</v>
      </c>
    </row>
    <row r="1060" spans="1:2" ht="13">
      <c r="A1060" s="101" t="str">
        <f ca="1">IFERROR(__xludf.DUMMYFUNCTION("""COMPUTED_VALUE"""),"Основное мероприятие ""Обеспечение сотрудничества с Республикой Абхазия в целях ее социально-экономического и научно-технического развития""")</f>
        <v>Основное мероприятие "Обеспечение сотрудничества с Республикой Абхазия в целях ее социально-экономического и научно-технического развития"</v>
      </c>
      <c r="B1060" s="101" t="str">
        <f ca="1">IFERROR(__xludf.DUMMYFUNCTION("""COMPUTED_VALUE"""),"индикатор")</f>
        <v>индикатор</v>
      </c>
    </row>
    <row r="1061" spans="1:2" ht="13">
      <c r="A1061" s="101" t="str">
        <f ca="1">IFERROR(__xludf.DUMMYFUNCTION("""COMPUTED_VALUE"""),"Основное мероприятие ""Обеспечение реализации подпрограммы""")</f>
        <v>Основное мероприятие "Обеспечение реализации подпрограммы"</v>
      </c>
      <c r="B1061" s="101" t="str">
        <f ca="1">IFERROR(__xludf.DUMMYFUNCTION("""COMPUTED_VALUE"""),"индикатор")</f>
        <v>индикатор</v>
      </c>
    </row>
    <row r="1062" spans="1:2" ht="13">
      <c r="A1062" s="101" t="str">
        <f ca="1">IFERROR(__xludf.DUMMYFUNCTION("""COMPUTED_VALUE"""),"Основное мероприятие ""Обеспечение долевого участия Российской Федерации в содержании межгосударственных структур, созданных государствами Содружества Независимых Государств""")</f>
        <v>Основное мероприятие "Обеспечение долевого участия Российской Федерации в содержании межгосударственных структур, созданных государствами Содружества Независимых Государств"</v>
      </c>
      <c r="B1062" s="101" t="str">
        <f ca="1">IFERROR(__xludf.DUMMYFUNCTION("""COMPUTED_VALUE"""),"индикатор")</f>
        <v>индикатор</v>
      </c>
    </row>
    <row r="1063" spans="1:2" ht="13">
      <c r="A1063" s="101" t="str">
        <f ca="1">IFERROR(__xludf.DUMMYFUNCTION("""COMPUTED_VALUE"""),"Основное мероприятие ""Обеспечение долевого участия Российской Федерации в финансировании совместных мероприятий, проводимых государствами Содружества Независимых Государств""")</f>
        <v>Основное мероприятие "Обеспечение долевого участия Российской Федерации в финансировании совместных мероприятий, проводимых государствами Содружества Независимых Государств"</v>
      </c>
      <c r="B1063" s="101" t="str">
        <f ca="1">IFERROR(__xludf.DUMMYFUNCTION("""COMPUTED_VALUE"""),"индикатор")</f>
        <v>индикатор</v>
      </c>
    </row>
    <row r="1064" spans="1:2" ht="13">
      <c r="A1064" s="101" t="str">
        <f ca="1">IFERROR(__xludf.DUMMYFUNCTION("""COMPUTED_VALUE"""),"Основное мероприятие ""Обеспечение долевого участия Российской Федерации в формировании бюджета Союзного государства""")</f>
        <v>Основное мероприятие "Обеспечение долевого участия Российской Федерации в формировании бюджета Союзного государства"</v>
      </c>
      <c r="B1064" s="101" t="str">
        <f ca="1">IFERROR(__xludf.DUMMYFUNCTION("""COMPUTED_VALUE"""),"индикатор")</f>
        <v>индикатор</v>
      </c>
    </row>
    <row r="1065" spans="1:2" ht="13">
      <c r="A1065" s="101" t="str">
        <f ca="1">IFERROR(__xludf.DUMMYFUNCTION("""COMPUTED_VALUE"""),"Основное мероприятие ""Обеспечение долевого участия Российской Федерации в Организации Договора о коллективной безопасности""")</f>
        <v>Основное мероприятие "Обеспечение долевого участия Российской Федерации в Организации Договора о коллективной безопасности"</v>
      </c>
      <c r="B1065" s="101" t="str">
        <f ca="1">IFERROR(__xludf.DUMMYFUNCTION("""COMPUTED_VALUE"""),"индикатор")</f>
        <v>индикатор</v>
      </c>
    </row>
    <row r="1066" spans="1:2" ht="13">
      <c r="A1066" s="101" t="str">
        <f ca="1">IFERROR(__xludf.DUMMYFUNCTION("""COMPUTED_VALUE"""),"Основное мероприятие ""Поддержка российского культурно-гуманитарного присутствия за рубежом""")</f>
        <v>Основное мероприятие "Поддержка российского культурно-гуманитарного присутствия за рубежом"</v>
      </c>
      <c r="B1066" s="101" t="str">
        <f ca="1">IFERROR(__xludf.DUMMYFUNCTION("""COMPUTED_VALUE"""),"индикатор")</f>
        <v>индикатор</v>
      </c>
    </row>
    <row r="1067" spans="1:2" ht="13">
      <c r="A1067" s="101" t="str">
        <f ca="1">IFERROR(__xludf.DUMMYFUNCTION("""COMPUTED_VALUE"""),"Основное мероприятие ""Обеспечение реализации подпрограммы""")</f>
        <v>Основное мероприятие "Обеспечение реализации подпрограммы"</v>
      </c>
      <c r="B1067" s="101" t="str">
        <f ca="1">IFERROR(__xludf.DUMMYFUNCTION("""COMPUTED_VALUE"""),"индикатор")</f>
        <v>индикатор</v>
      </c>
    </row>
    <row r="1068" spans="1:2" ht="13">
      <c r="A1068" s="101" t="str">
        <f ca="1">IFERROR(__xludf.DUMMYFUNCTION("""COMPUTED_VALUE"""),"Основное мероприятие ""Поддержка соотечественников, проживающих за рубежом""")</f>
        <v>Основное мероприятие "Поддержка соотечественников, проживающих за рубежом"</v>
      </c>
      <c r="B1068" s="101" t="str">
        <f ca="1">IFERROR(__xludf.DUMMYFUNCTION("""COMPUTED_VALUE"""),"индикатор")</f>
        <v>индикатор</v>
      </c>
    </row>
    <row r="1069" spans="1:2" ht="13">
      <c r="A1069" s="101" t="str">
        <f ca="1">IFERROR(__xludf.DUMMYFUNCTION("""COMPUTED_VALUE"""),"Основное мероприятие ""Создание условий для активизации деятельности соотечественников, проживающих за рубежом, в культурно-гуманитарной сфере""")</f>
        <v>Основное мероприятие "Создание условий для активизации деятельности соотечественников, проживающих за рубежом, в культурно-гуманитарной сфере"</v>
      </c>
      <c r="B1069" s="101" t="str">
        <f ca="1">IFERROR(__xludf.DUMMYFUNCTION("""COMPUTED_VALUE"""),"индикатор")</f>
        <v>индикатор</v>
      </c>
    </row>
    <row r="1070" spans="1:2" ht="13">
      <c r="A1070" s="101" t="str">
        <f ca="1">IFERROR(__xludf.DUMMYFUNCTION("""COMPUTED_VALUE"""),"Основное мероприятие ""Обеспечение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научно-технической политики в области информатизации, развития государственных инфор"&amp;"мационных систем, информационно-технологической инфраструктуры Министерства юстиции Российской Федерации и выпуска печатной продукции для правового информирования""")</f>
        <v>Основное мероприятие "Обеспечение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научно-технической политики в области информатизации, развития государственных информационных систем, информационно-технологической инфраструктуры Министерства юстиции Российской Федерации и выпуска печатной продукции для правового информирования"</v>
      </c>
      <c r="B1070" s="101" t="str">
        <f ca="1">IFERROR(__xludf.DUMMYFUNCTION("""COMPUTED_VALUE"""),"индикатор")</f>
        <v>индикатор</v>
      </c>
    </row>
    <row r="1071" spans="1:2" ht="13">
      <c r="A1071" s="101" t="str">
        <f ca="1">IFERROR(__xludf.DUMMYFUNCTION("""COMPUTED_VALUE"""),"Основное мероприятие ""Обеспечение исполнения решений Европейского суда по правам человека""")</f>
        <v>Основное мероприятие "Обеспечение исполнения решений Европейского суда по правам человека"</v>
      </c>
      <c r="B1071" s="101" t="str">
        <f ca="1">IFERROR(__xludf.DUMMYFUNCTION("""COMPUTED_VALUE"""),"индикатор")</f>
        <v>индикатор</v>
      </c>
    </row>
    <row r="1072" spans="1:2" ht="13">
      <c r="A1072" s="101" t="str">
        <f ca="1">IFERROR(__xludf.DUMMYFUNCTION("""COMPUTED_VALUE"""),"Основное мероприятие ""Организация, обеспечение и совершенствование деятельности судебно-экспертных учреждений Министерства юстиции Российской Федерации""")</f>
        <v>Основное мероприятие "Организация, обеспечение и совершенствование деятельности судебно-экспертных учреждений Министерства юстиции Российской Федерации"</v>
      </c>
      <c r="B1072" s="101" t="str">
        <f ca="1">IFERROR(__xludf.DUMMYFUNCTION("""COMPUTED_VALUE"""),"индикатор")</f>
        <v>индикатор</v>
      </c>
    </row>
    <row r="1073" spans="1:2" ht="13">
      <c r="A1073" s="101" t="str">
        <f ca="1">IFERROR(__xludf.DUMMYFUNCTION("""COMPUTED_VALUE"""),"Основное мероприятие ""Обеспечение мер по созданию необходимых условий для осуществления судебно-экспертной деятельности""")</f>
        <v>Основное мероприятие "Обеспечение мер по созданию необходимых условий для осуществления судебно-экспертной деятельности"</v>
      </c>
      <c r="B1073" s="101" t="str">
        <f ca="1">IFERROR(__xludf.DUMMYFUNCTION("""COMPUTED_VALUE"""),"индикатор")</f>
        <v>индикатор</v>
      </c>
    </row>
    <row r="1074" spans="1:2" ht="13">
      <c r="A1074" s="101" t="str">
        <f ca="1">IFERROR(__xludf.DUMMYFUNCTION("""COMPUTED_VALUE"""),"Основное мероприятие ""Совершенствование отдельных направлений деятельности уголовно-исполнительной системы""")</f>
        <v>Основное мероприятие "Совершенствование отдельных направлений деятельности уголовно-исполнительной системы"</v>
      </c>
      <c r="B1074" s="101" t="str">
        <f ca="1">IFERROR(__xludf.DUMMYFUNCTION("""COMPUTED_VALUE"""),"индикатор")</f>
        <v>индикатор</v>
      </c>
    </row>
    <row r="1075" spans="1:2" ht="13">
      <c r="A1075" s="101" t="str">
        <f ca="1">IFERROR(__xludf.DUMMYFUNCTION("""COMPUTED_VALUE"""),"Основное мероприятие ""Повышение эффективности управления уголовно-исполнительной системой, использование инновационных разработок и научного потенциала""")</f>
        <v>Основное мероприятие "Повышение эффективности управления уголовно-исполнительной системой, использование инновационных разработок и научного потенциала"</v>
      </c>
      <c r="B1075" s="101" t="str">
        <f ca="1">IFERROR(__xludf.DUMMYFUNCTION("""COMPUTED_VALUE"""),"индикатор")</f>
        <v>индикатор</v>
      </c>
    </row>
    <row r="1076" spans="1:2" ht="13">
      <c r="A1076" s="101" t="str">
        <f ca="1">IFERROR(__xludf.DUMMYFUNCTION("""COMPUTED_VALUE"""),"Основное мероприятие ""Повышение социального статуса сотрудников уголовно-исполнительной системы, престижа службы в исправительных учреждениях""")</f>
        <v>Основное мероприятие "Повышение социального статуса сотрудников уголовно-исполнительной системы, престижа службы в исправительных учреждениях"</v>
      </c>
      <c r="B1076" s="101" t="str">
        <f ca="1">IFERROR(__xludf.DUMMYFUNCTION("""COMPUTED_VALUE"""),"индикатор")</f>
        <v>индикатор</v>
      </c>
    </row>
    <row r="1077" spans="1:2" ht="13">
      <c r="A1077" s="101" t="str">
        <f ca="1">IFERROR(__xludf.DUMMYFUNCTION("""COMPUTED_VALUE"""),"Основное мероприятие ""Проведение социальной, психологической, воспитательной и образовательной работы с осужденными""")</f>
        <v>Основное мероприятие "Проведение социальной, психологической, воспитательной и образовательной работы с осужденными"</v>
      </c>
      <c r="B1077" s="101" t="str">
        <f ca="1">IFERROR(__xludf.DUMMYFUNCTION("""COMPUTED_VALUE"""),"индикатор")</f>
        <v>индикатор</v>
      </c>
    </row>
    <row r="1078" spans="1:2" ht="13">
      <c r="A1078" s="101" t="str">
        <f ca="1">IFERROR(__xludf.DUMMYFUNCTION("""COMPUTED_VALUE"""),"Основное мероприятие ""Организация и обеспечение принудительного исполнения судебных актов, актов других органов и должностных лиц, а также установленного порядка деятельности судов""")</f>
        <v>Основное мероприятие "Организация и обеспечение принудительного исполнения судебных актов, актов других органов и должностных лиц, а также установленного порядка деятельности судов"</v>
      </c>
      <c r="B1078" s="101" t="str">
        <f ca="1">IFERROR(__xludf.DUMMYFUNCTION("""COMPUTED_VALUE"""),"индикатор")</f>
        <v>индикатор</v>
      </c>
    </row>
    <row r="1079" spans="1:2" ht="13">
      <c r="A1079" s="101" t="str">
        <f ca="1">IFERROR(__xludf.DUMMYFUNCTION("""COMPUTED_VALUE"""),"Основное мероприятие ""Модернизация системы принудительного исполнения судебных актов, актов других органов и должностных лиц""")</f>
        <v>Основное мероприятие "Модернизация системы принудительного исполнения судебных актов, актов других органов и должностных лиц"</v>
      </c>
      <c r="B1079" s="101" t="str">
        <f ca="1">IFERROR(__xludf.DUMMYFUNCTION("""COMPUTED_VALUE"""),"индикатор")</f>
        <v>индикатор</v>
      </c>
    </row>
    <row r="1080" spans="1:2" ht="13">
      <c r="A1080" s="101" t="str">
        <f ca="1">IFERROR(__xludf.DUMMYFUNCTION("""COMPUTED_VALUE"""),"Основное мероприятие ""Обеспечение мер по созданию необходимых условий для исполнения судебных решений""")</f>
        <v>Основное мероприятие "Обеспечение мер по созданию необходимых условий для исполнения судебных решений"</v>
      </c>
      <c r="B1080" s="101" t="str">
        <f ca="1">IFERROR(__xludf.DUMMYFUNCTION("""COMPUTED_VALUE"""),"индикатор")</f>
        <v>индикатор</v>
      </c>
    </row>
    <row r="1081" spans="1:2" ht="13">
      <c r="A1081" s="101" t="str">
        <f ca="1">IFERROR(__xludf.DUMMYFUNCTION("""COMPUTED_VALUE"""),"Основное мероприятие ""Обеспечение выполнения государственных функций""")</f>
        <v>Основное мероприятие "Обеспечение выполнения государственных функций"</v>
      </c>
      <c r="B1081" s="101" t="str">
        <f ca="1">IFERROR(__xludf.DUMMYFUNCTION("""COMPUTED_VALUE"""),"индикатор")</f>
        <v>индикатор</v>
      </c>
    </row>
    <row r="1082" spans="1:2" ht="13">
      <c r="A1082" s="101" t="str">
        <f ca="1">IFERROR(__xludf.DUMMYFUNCTION("""COMPUTED_VALUE"""),"Основное мероприятие ""Организация взаимодействия с Гаагской конференцией по международному частному праву""")</f>
        <v>Основное мероприятие "Организация взаимодействия с Гаагской конференцией по международному частному праву"</v>
      </c>
      <c r="B1082" s="101" t="str">
        <f ca="1">IFERROR(__xludf.DUMMYFUNCTION("""COMPUTED_VALUE"""),"индикатор")</f>
        <v>индикатор</v>
      </c>
    </row>
    <row r="1083" spans="1:2" ht="13">
      <c r="A1083" s="101" t="str">
        <f ca="1">IFERROR(__xludf.DUMMYFUNCTION("""COMPUTED_VALUE"""),"Федеральная целевая программа ""Развитие уголовно-исполнительной системы (2018 - 2026 годы)""")</f>
        <v>Федеральная целевая программа "Развитие уголовно-исполнительной системы (2018 - 2026 годы)"</v>
      </c>
      <c r="B1083" s="101" t="str">
        <f ca="1">IFERROR(__xludf.DUMMYFUNCTION("""COMPUTED_VALUE"""),"индикатор")</f>
        <v>индикатор</v>
      </c>
    </row>
    <row r="1084" spans="1:2" ht="13">
      <c r="A1084" s="101" t="str">
        <f ca="1">IFERROR(__xludf.DUMMYFUNCTION("""COMPUTED_VALUE"""),"Основное мероприятие ""Обеспечение формирования и функционирования опорных зон развития""")</f>
        <v>Основное мероприятие "Обеспечение формирования и функционирования опорных зон развития"</v>
      </c>
      <c r="B1084" s="101" t="str">
        <f ca="1">IFERROR(__xludf.DUMMYFUNCTION("""COMPUTED_VALUE"""),"индикатор")</f>
        <v>индикатор</v>
      </c>
    </row>
    <row r="1085" spans="1:2" ht="13">
      <c r="A1085" s="101" t="str">
        <f ca="1">IFERROR(__xludf.DUMMYFUNCTION("""COMPUTED_VALUE"""),"Основное мероприятие ""Обеспечение деятельности институтов развития""")</f>
        <v>Основное мероприятие "Обеспечение деятельности институтов развития"</v>
      </c>
      <c r="B1085" s="101" t="str">
        <f ca="1">IFERROR(__xludf.DUMMYFUNCTION("""COMPUTED_VALUE"""),"индикатор")</f>
        <v>индикатор</v>
      </c>
    </row>
    <row r="1086" spans="1:2" ht="13">
      <c r="A1086" s="101" t="str">
        <f ca="1">IFERROR(__xludf.DUMMYFUNCTION("""COMPUTED_VALUE"""),"Основное мероприятие ""Стимулирование промышленной деятельности организаций оборонно-промышленного комплекса""")</f>
        <v>Основное мероприятие "Стимулирование промышленной деятельности организаций оборонно-промышленного комплекса"</v>
      </c>
      <c r="B1086" s="101" t="str">
        <f ca="1">IFERROR(__xludf.DUMMYFUNCTION("""COMPUTED_VALUE"""),"индикатор")</f>
        <v>индикатор</v>
      </c>
    </row>
    <row r="1087" spans="1:2" ht="13">
      <c r="A1087" s="101" t="str">
        <f ca="1">IFERROR(__xludf.DUMMYFUNCTION("""COMPUTED_VALUE"""),"Основное мероприятие ""Государственная поддержка в целях обеспечения финансово-экономической устойчивости организаций оборонно-промышленного комплекса""")</f>
        <v>Основное мероприятие "Государственная поддержка в целях обеспечения финансово-экономической устойчивости организаций оборонно-промышленного комплекса"</v>
      </c>
      <c r="B1087" s="101" t="str">
        <f ca="1">IFERROR(__xludf.DUMMYFUNCTION("""COMPUTED_VALUE"""),"индикатор")</f>
        <v>индикатор</v>
      </c>
    </row>
    <row r="1088" spans="1:2" ht="13">
      <c r="A1088" s="101" t="str">
        <f ca="1">IFERROR(__xludf.DUMMYFUNCTION("""COMPUTED_VALUE"""),"Основное мероприятие ""Государственная поддержка развития кадрового потенциала оборонно-промышленного комплекса""")</f>
        <v>Основное мероприятие "Государственная поддержка развития кадрового потенциала оборонно-промышленного комплекса"</v>
      </c>
      <c r="B1088" s="101" t="str">
        <f ca="1">IFERROR(__xludf.DUMMYFUNCTION("""COMPUTED_VALUE"""),"индикатор")</f>
        <v>индикатор</v>
      </c>
    </row>
    <row r="1089" spans="1:2" ht="13">
      <c r="A1089" s="101" t="str">
        <f ca="1">IFERROR(__xludf.DUMMYFUNCTION("""COMPUTED_VALUE"""),"Основное мероприятие ""Разработка прикладного программного обеспечения для организаций оборонно-промышленного комплекса""")</f>
        <v>Основное мероприятие "Разработка прикладного программного обеспечения для организаций оборонно-промышленного комплекса"</v>
      </c>
      <c r="B1089" s="101" t="str">
        <f ca="1">IFERROR(__xludf.DUMMYFUNCTION("""COMPUTED_VALUE"""),"индикатор")</f>
        <v>индикатор</v>
      </c>
    </row>
    <row r="1090" spans="1:2" ht="13">
      <c r="A1090" s="101" t="str">
        <f ca="1">IFERROR(__xludf.DUMMYFUNCTION("""COMPUTED_VALUE"""),"Федеральная целевая программа ""Социально-экономическое развитие Республики Крым и г. Севастополя до 2022 года""")</f>
        <v>Федеральная целевая программа "Социально-экономическое развитие Республики Крым и г. Севастополя до 2022 года"</v>
      </c>
      <c r="B1090" s="101" t="str">
        <f ca="1">IFERROR(__xludf.DUMMYFUNCTION("""COMPUTED_VALUE"""),"индикатор")</f>
        <v>индикатор</v>
      </c>
    </row>
    <row r="1091" spans="1:2" ht="13">
      <c r="A1091" s="101" t="str">
        <f ca="1">IFERROR(__xludf.DUMMYFUNCTION("""COMPUTED_VALUE"""),"Основное мероприятие ""Обеспечение эффективного взаимодействия органов власти с институтами гражданского общества""")</f>
        <v>Основное мероприятие "Обеспечение эффективного взаимодействия органов власти с институтами гражданского общества"</v>
      </c>
      <c r="B1091" s="101" t="str">
        <f ca="1">IFERROR(__xludf.DUMMYFUNCTION("""COMPUTED_VALUE"""),"индикатор")</f>
        <v>индикатор</v>
      </c>
    </row>
    <row r="1092" spans="1:2" ht="13">
      <c r="A1092" s="101" t="str">
        <f ca="1">IFERROR(__xludf.DUMMYFUNCTION("""COMPUTED_VALUE"""),"Основное мероприятие ""Реализация мер по развитию потенциала молодежи и его использование в интересах укрепления российской нации, упрочения мира и согласия""")</f>
        <v>Основное мероприятие "Реализация мер по развитию потенциала молодежи и его использование в интересах укрепления российской нации, упрочения мира и согласия"</v>
      </c>
      <c r="B1092" s="101" t="str">
        <f ca="1">IFERROR(__xludf.DUMMYFUNCTION("""COMPUTED_VALUE"""),"индикатор")</f>
        <v>индикатор</v>
      </c>
    </row>
    <row r="1093" spans="1:2" ht="13">
      <c r="A1093" s="101" t="str">
        <f ca="1">IFERROR(__xludf.DUMMYFUNCTION("""COMPUTED_VALUE"""),"Основное мероприятие ""Укрепление общероссийской гражданской идентичности""")</f>
        <v>Основное мероприятие "Укрепление общероссийской гражданской идентичности"</v>
      </c>
      <c r="B1093" s="101" t="str">
        <f ca="1">IFERROR(__xludf.DUMMYFUNCTION("""COMPUTED_VALUE"""),"индикатор")</f>
        <v>индикатор</v>
      </c>
    </row>
    <row r="1094" spans="1:2" ht="13">
      <c r="A1094" s="101" t="str">
        <f ca="1">IFERROR(__xludf.DUMMYFUNCTION("""COMPUTED_VALUE"""),"Основное мероприятие ""Содействие этнокультурному многообразию народов России""")</f>
        <v>Основное мероприятие "Содействие этнокультурному многообразию народов России"</v>
      </c>
      <c r="B1094" s="101" t="str">
        <f ca="1">IFERROR(__xludf.DUMMYFUNCTION("""COMPUTED_VALUE"""),"индикатор")</f>
        <v>индикатор</v>
      </c>
    </row>
    <row r="1095" spans="1:2" ht="13">
      <c r="A1095" s="101" t="str">
        <f ca="1">IFERROR(__xludf.DUMMYFUNCTION("""COMPUTED_VALUE"""),"Основное мероприятие ""Поддержка языков народов России""")</f>
        <v>Основное мероприятие "Поддержка языков народов России"</v>
      </c>
      <c r="B1095" s="101" t="str">
        <f ca="1">IFERROR(__xludf.DUMMYFUNCTION("""COMPUTED_VALUE"""),"индикатор")</f>
        <v>индикатор</v>
      </c>
    </row>
    <row r="1096" spans="1:2" ht="13">
      <c r="A1096" s="101" t="str">
        <f ca="1">IFERROR(__xludf.DUMMYFUNCTION("""COMPUTED_VALUE"""),"Основное мероприятие ""Содействие участию коренных малочисленных народов Российской Федерации в решении вопросов государственного и местного управления""")</f>
        <v>Основное мероприятие "Содействие участию коренных малочисленных народов Российской Федерации в решении вопросов государственного и местного управления"</v>
      </c>
      <c r="B1096" s="101" t="str">
        <f ca="1">IFERROR(__xludf.DUMMYFUNCTION("""COMPUTED_VALUE"""),"индикатор")</f>
        <v>индикатор</v>
      </c>
    </row>
    <row r="1097" spans="1:2" ht="13">
      <c r="A1097" s="101" t="str">
        <f ca="1">IFERROR(__xludf.DUMMYFUNCTION("""COMPUTED_VALUE"""),"Основное мероприятие ""Сохранение культур и традиционного образа жизни коренных малочисленных народов Российской Федерации""")</f>
        <v>Основное мероприятие "Сохранение культур и традиционного образа жизни коренных малочисленных народов Российской Федерации"</v>
      </c>
      <c r="B1097" s="101" t="str">
        <f ca="1">IFERROR(__xludf.DUMMYFUNCTION("""COMPUTED_VALUE"""),"индикатор")</f>
        <v>индикатор</v>
      </c>
    </row>
    <row r="1098" spans="1:2" ht="13">
      <c r="A1098" s="101" t="str">
        <f ca="1">IFERROR(__xludf.DUMMYFUNCTION("""COMPUTED_VALUE"""),"Основное мероприятие ""Повышение качества жизни коренных малочисленных народов Севера, Сибири и Дальнего Востока Российской Федерации""")</f>
        <v>Основное мероприятие "Повышение качества жизни коренных малочисленных народов Севера, Сибири и Дальнего Востока Российской Федерации"</v>
      </c>
      <c r="B1098" s="101" t="str">
        <f ca="1">IFERROR(__xludf.DUMMYFUNCTION("""COMPUTED_VALUE"""),"индикатор")</f>
        <v>индикатор</v>
      </c>
    </row>
    <row r="1099" spans="1:2" ht="13">
      <c r="A1099" s="101" t="str">
        <f ca="1">IFERROR(__xludf.DUMMYFUNCTION("""COMPUTED_VALUE"""),"Основное мероприятие ""Реализация мер, направленных на социально-культурную адаптацию и интеграцию иностранных граждан""")</f>
        <v>Основное мероприятие "Реализация мер, направленных на социально-культурную адаптацию и интеграцию иностранных граждан"</v>
      </c>
      <c r="B1099" s="101" t="str">
        <f ca="1">IFERROR(__xludf.DUMMYFUNCTION("""COMPUTED_VALUE"""),"индикатор")</f>
        <v>индикатор</v>
      </c>
    </row>
    <row r="1100" spans="1:2" ht="13">
      <c r="A1100" s="101" t="str">
        <f ca="1">IFERROR(__xludf.DUMMYFUNCTION("""COMPUTED_VALUE"""),"Основное мероприятие ""Сохранение самобытной казачьей культуры и обеспечение участия российского казачества в воспитании подрастающего поколения в духе патриотизма""")</f>
        <v>Основное мероприятие "Сохранение самобытной казачьей культуры и обеспечение участия российского казачества в воспитании подрастающего поколения в духе патриотизма"</v>
      </c>
      <c r="B1100" s="101" t="str">
        <f ca="1">IFERROR(__xludf.DUMMYFUNCTION("""COMPUTED_VALUE"""),"индикатор")</f>
        <v>индикатор</v>
      </c>
    </row>
    <row r="1101" spans="1:2" ht="13">
      <c r="A1101" s="101" t="str">
        <f ca="1">IFERROR(__xludf.DUMMYFUNCTION("""COMPUTED_VALUE"""),"Основное мероприятие ""Мониторинг в сфере межнациональных и межконфессиональных отношений""")</f>
        <v>Основное мероприятие "Мониторинг в сфере межнациональных и межконфессиональных отношений"</v>
      </c>
      <c r="B1101" s="101" t="str">
        <f ca="1">IFERROR(__xludf.DUMMYFUNCTION("""COMPUTED_VALUE"""),"индикатор")</f>
        <v>индикатор</v>
      </c>
    </row>
    <row r="1102" spans="1:2" ht="13">
      <c r="A1102" s="101" t="str">
        <f ca="1">IFERROR(__xludf.DUMMYFUNCTION("""COMPUTED_VALUE"""),"Основное мероприятие ""Реализация мер по профилактике и предупреждению попыток разжигания расовой, национальной и религиозной розни, ненависти либо вражды""")</f>
        <v>Основное мероприятие "Реализация мер по профилактике и предупреждению попыток разжигания расовой, национальной и религиозной розни, ненависти либо вражды"</v>
      </c>
      <c r="B1102" s="101" t="str">
        <f ca="1">IFERROR(__xludf.DUMMYFUNCTION("""COMPUTED_VALUE"""),"индикатор")</f>
        <v>индикатор</v>
      </c>
    </row>
    <row r="1103" spans="1:2" ht="13">
      <c r="A1103" s="101" t="str">
        <f ca="1">IFERROR(__xludf.DUMMYFUNCTION("""COMPUTED_VALUE"""),"Основное мероприятие ""Совершенствование управления реализацией программы, мониторинг реализации государственной программы""")</f>
        <v>Основное мероприятие "Совершенствование управления реализацией программы, мониторинг реализации государственной программы"</v>
      </c>
      <c r="B1103" s="101" t="str">
        <f ca="1">IFERROR(__xludf.DUMMYFUNCTION("""COMPUTED_VALUE"""),"индикатор")</f>
        <v>индикатор</v>
      </c>
    </row>
    <row r="1104" spans="1:2" ht="13">
      <c r="A1104" s="101" t="str">
        <f ca="1">IFERROR(__xludf.DUMMYFUNCTION("""COMPUTED_VALUE"""),"Основное мероприятие ""Развитие кадрового потенциала в сфере реализации государственной национальной политики""")</f>
        <v>Основное мероприятие "Развитие кадрового потенциала в сфере реализации государственной национальной политики"</v>
      </c>
      <c r="B1104" s="101" t="str">
        <f ca="1">IFERROR(__xludf.DUMMYFUNCTION("""COMPUTED_VALUE"""),"индикатор")</f>
        <v>индикатор</v>
      </c>
    </row>
    <row r="1105" spans="1:2" ht="13">
      <c r="A1105" s="101" t="str">
        <f ca="1">IFERROR(__xludf.DUMMYFUNCTION("""COMPUTED_VALUE"""),"Основное мероприятие ""Поддержка и развитие системы демонстрации и популяризации результатов и достижений науки""")</f>
        <v>Основное мероприятие "Поддержка и развитие системы демонстрации и популяризации результатов и достижений науки"</v>
      </c>
      <c r="B1105" s="101" t="str">
        <f ca="1">IFERROR(__xludf.DUMMYFUNCTION("""COMPUTED_VALUE"""),"индикатор")</f>
        <v>индикатор</v>
      </c>
    </row>
    <row r="1106" spans="1:2" ht="13">
      <c r="A1106" s="101" t="str">
        <f ca="1">IFERROR(__xludf.DUMMYFUNCTION("""COMPUTED_VALUE"""),"Основное мероприятие ""Выявление талантов и их развитие в области науки и техники""")</f>
        <v>Основное мероприятие "Выявление талантов и их развитие в области науки и техники"</v>
      </c>
      <c r="B1106" s="101" t="str">
        <f ca="1">IFERROR(__xludf.DUMMYFUNCTION("""COMPUTED_VALUE"""),"индикатор")</f>
        <v>индикатор</v>
      </c>
    </row>
    <row r="1107" spans="1:2" ht="13">
      <c r="A1107" s="101" t="str">
        <f ca="1">IFERROR(__xludf.DUMMYFUNCTION("""COMPUTED_VALUE"""),"Основное мероприятие ""Привлечение отечественных и зарубежных ученых мирового класса к формированию в Российской Федерации новых научных коллективов""")</f>
        <v>Основное мероприятие "Привлечение отечественных и зарубежных ученых мирового класса к формированию в Российской Федерации новых научных коллективов"</v>
      </c>
      <c r="B1107" s="101" t="str">
        <f ca="1">IFERROR(__xludf.DUMMYFUNCTION("""COMPUTED_VALUE"""),"индикатор")</f>
        <v>индикатор</v>
      </c>
    </row>
    <row r="1108" spans="1:2" ht="13">
      <c r="A1108" s="101" t="str">
        <f ca="1">IFERROR(__xludf.DUMMYFUNCTION("""COMPUTED_VALUE"""),"Основное мероприятие ""Развитие института научного наставничества""")</f>
        <v>Основное мероприятие "Развитие института научного наставничества"</v>
      </c>
      <c r="B1108" s="101" t="str">
        <f ca="1">IFERROR(__xludf.DUMMYFUNCTION("""COMPUTED_VALUE"""),"индикатор")</f>
        <v>индикатор</v>
      </c>
    </row>
    <row r="1109" spans="1:2" ht="13">
      <c r="A1109" s="101" t="str">
        <f ca="1">IFERROR(__xludf.DUMMYFUNCTION("""COMPUTED_VALUE"""),"Основное мероприятие ""Создание института временных и постоянных позиций для исследователей""")</f>
        <v>Основное мероприятие "Создание института временных и постоянных позиций для исследователей"</v>
      </c>
      <c r="B1109" s="101" t="str">
        <f ca="1">IFERROR(__xludf.DUMMYFUNCTION("""COMPUTED_VALUE"""),"индикатор")</f>
        <v>индикатор</v>
      </c>
    </row>
    <row r="1110" spans="1:2" ht="13">
      <c r="A1110" s="101" t="str">
        <f ca="1">IFERROR(__xludf.DUMMYFUNCTION("""COMPUTED_VALUE"""),"Основное мероприятие ""Развитие инфраструктуры высшего образования""")</f>
        <v>Основное мероприятие "Развитие инфраструктуры высшего образования"</v>
      </c>
      <c r="B1110" s="101" t="str">
        <f ca="1">IFERROR(__xludf.DUMMYFUNCTION("""COMPUTED_VALUE"""),"индикатор")</f>
        <v>индикатор</v>
      </c>
    </row>
    <row r="1111" spans="1:2" ht="13">
      <c r="A1111" s="101" t="str">
        <f ca="1">IFERROR(__xludf.DUMMYFUNCTION("""COMPUTED_VALUE"""),"Основное мероприятие ""Обеспечение реализации образовательных программ и научной деятельности в системе высшего образования""")</f>
        <v>Основное мероприятие "Обеспечение реализации образовательных программ и научной деятельности в системе высшего образования"</v>
      </c>
      <c r="B1111" s="101" t="str">
        <f ca="1">IFERROR(__xludf.DUMMYFUNCTION("""COMPUTED_VALUE"""),"индикатор")</f>
        <v>индикатор</v>
      </c>
    </row>
    <row r="1112" spans="1:2" ht="13">
      <c r="A1112" s="101" t="str">
        <f ca="1">IFERROR(__xludf.DUMMYFUNCTION("""COMPUTED_VALUE"""),"Основное мероприятие ""Стимулирование и социальная поддержка обучающихся и работников образовательных организаций высшего образования""")</f>
        <v>Основное мероприятие "Стимулирование и социальная поддержка обучающихся и работников образовательных организаций высшего образования"</v>
      </c>
      <c r="B1112" s="101" t="str">
        <f ca="1">IFERROR(__xludf.DUMMYFUNCTION("""COMPUTED_VALUE"""),"индикатор")</f>
        <v>индикатор</v>
      </c>
    </row>
    <row r="1113" spans="1:2" ht="13">
      <c r="A1113" s="101" t="str">
        <f ca="1">IFERROR(__xludf.DUMMYFUNCTION("""COMPUTED_VALUE"""),"Ведомственная целевая программа ""Развитие интегрированной системы обеспечения высококвалифицированными кадрами организаций оборонно-промышленного комплекса Российской Федерации в 2016 - 2020 годах""")</f>
        <v>Ведомственная целевая программа "Развитие интегрированной системы обеспечения высококвалифицированными кадрами организаций оборонно-промышленного комплекса Российской Федерации в 2016 - 2020 годах"</v>
      </c>
      <c r="B1113" s="101" t="str">
        <f ca="1">IFERROR(__xludf.DUMMYFUNCTION("""COMPUTED_VALUE"""),"индикатор")</f>
        <v>индикатор</v>
      </c>
    </row>
    <row r="1114" spans="1:2" ht="13">
      <c r="A1114" s="101" t="str">
        <f ca="1">IFERROR(__xludf.DUMMYFUNCTION("""COMPUTED_VALUE"""),"Основное мероприятие ""Оценка и контроль качества высшего образования""")</f>
        <v>Основное мероприятие "Оценка и контроль качества высшего образования"</v>
      </c>
      <c r="B1114" s="101" t="str">
        <f ca="1">IFERROR(__xludf.DUMMYFUNCTION("""COMPUTED_VALUE"""),"индикатор")</f>
        <v>индикатор</v>
      </c>
    </row>
    <row r="1115" spans="1:2" ht="13">
      <c r="A1115" s="101" t="str">
        <f ca="1">IFERROR(__xludf.DUMMYFUNCTION("""COMPUTED_VALUE"""),"Ведомственный проект ""Информационный портал, обеспечивающий расширение взаимодействия абитуриентов и образовательных организаций высшего образования, находящихся на территории Российской Федерации"" (""Поступай правильно"")")</f>
        <v>Ведомственный проект "Информационный портал, обеспечивающий расширение взаимодействия абитуриентов и образовательных организаций высшего образования, находящихся на территории Российской Федерации" ("Поступай правильно")</v>
      </c>
      <c r="B1115" s="101" t="str">
        <f ca="1">IFERROR(__xludf.DUMMYFUNCTION("""COMPUTED_VALUE"""),"индикатор")</f>
        <v>индикатор</v>
      </c>
    </row>
    <row r="1116" spans="1:2" ht="13">
      <c r="A1116" s="101" t="str">
        <f ca="1">IFERROR(__xludf.DUMMYFUNCTION("""COMPUTED_VALUE"""),"Основное мероприятие ""Совершенствование системы управления в области развития фундаментальных научных исследований""")</f>
        <v>Основное мероприятие "Совершенствование системы управления в области развития фундаментальных научных исследований"</v>
      </c>
      <c r="B1116" s="101" t="str">
        <f ca="1">IFERROR(__xludf.DUMMYFUNCTION("""COMPUTED_VALUE"""),"индикатор")</f>
        <v>индикатор</v>
      </c>
    </row>
    <row r="1117" spans="1:2" ht="13">
      <c r="A1117" s="101" t="str">
        <f ca="1">IFERROR(__xludf.DUMMYFUNCTION("""COMPUTED_VALUE"""),"Основное мероприятие ""Обеспечение реализации программы фундаментальных научных исследований""")</f>
        <v>Основное мероприятие "Обеспечение реализации программы фундаментальных научных исследований"</v>
      </c>
      <c r="B1117" s="101" t="str">
        <f ca="1">IFERROR(__xludf.DUMMYFUNCTION("""COMPUTED_VALUE"""),"индикатор")</f>
        <v>индикатор</v>
      </c>
    </row>
    <row r="1118" spans="1:2" ht="13">
      <c r="A1118" s="101" t="str">
        <f ca="1">IFERROR(__xludf.DUMMYFUNCTION("""COMPUTED_VALUE"""),"Основное мероприятие ""Обеспечение реализации комплексных программ поддержки прикладных научных исследований и технологического трансфера""")</f>
        <v>Основное мероприятие "Обеспечение реализации комплексных программ поддержки прикладных научных исследований и технологического трансфера"</v>
      </c>
      <c r="B1118" s="101" t="str">
        <f ca="1">IFERROR(__xludf.DUMMYFUNCTION("""COMPUTED_VALUE"""),"индикатор")</f>
        <v>индикатор</v>
      </c>
    </row>
    <row r="1119" spans="1:2" ht="13">
      <c r="A1119" s="101" t="str">
        <f ca="1">IFERROR(__xludf.DUMMYFUNCTION("""COMPUTED_VALUE"""),"Основное мероприятие ""Развитие территорий с высокой концентрацией научно-технологического потенциала""")</f>
        <v>Основное мероприятие "Развитие территорий с высокой концентрацией научно-технологического потенциала"</v>
      </c>
      <c r="B1119" s="101" t="str">
        <f ca="1">IFERROR(__xludf.DUMMYFUNCTION("""COMPUTED_VALUE"""),"индикатор")</f>
        <v>индикатор</v>
      </c>
    </row>
    <row r="1120" spans="1:2" ht="13">
      <c r="A1120" s="101" t="str">
        <f ca="1">IFERROR(__xludf.DUMMYFUNCTION("""COMPUTED_VALUE"""),"Основное мероприятие ""Обеспечение реализации программы двух- и многостороннего научно-технологического взаимодействия""")</f>
        <v>Основное мероприятие "Обеспечение реализации программы двух- и многостороннего научно-технологического взаимодействия"</v>
      </c>
      <c r="B1120" s="101" t="str">
        <f ca="1">IFERROR(__xludf.DUMMYFUNCTION("""COMPUTED_VALUE"""),"индикатор")</f>
        <v>индикатор</v>
      </c>
    </row>
    <row r="1121" spans="1:2" ht="13">
      <c r="A1121" s="101" t="str">
        <f ca="1">IFERROR(__xludf.DUMMYFUNCTION("""COMPUTED_VALUE"""),"Основное мероприятие ""Развитие цифровых платформ для участников научно-технологического развития""")</f>
        <v>Основное мероприятие "Развитие цифровых платформ для участников научно-технологического развития"</v>
      </c>
      <c r="B1121" s="101" t="str">
        <f ca="1">IFERROR(__xludf.DUMMYFUNCTION("""COMPUTED_VALUE"""),"индикатор")</f>
        <v>индикатор</v>
      </c>
    </row>
    <row r="1122" spans="1:2" ht="13">
      <c r="A1122" s="101" t="str">
        <f ca="1">IFERROR(__xludf.DUMMYFUNCTION("""COMPUTED_VALUE"""),"Основное мероприятие ""Развитие инфраструктуры научной, научно-технической деятельности (центров коллективного пользования, уникальных научных установок)""")</f>
        <v>Основное мероприятие "Развитие инфраструктуры научной, научно-технической деятельности (центров коллективного пользования, уникальных научных установок)"</v>
      </c>
      <c r="B1122" s="101" t="str">
        <f ca="1">IFERROR(__xludf.DUMMYFUNCTION("""COMPUTED_VALUE"""),"индикатор")</f>
        <v>индикатор</v>
      </c>
    </row>
    <row r="1123" spans="1:2" ht="13">
      <c r="A1123" s="101" t="str">
        <f ca="1">IFERROR(__xludf.DUMMYFUNCTION("""COMPUTED_VALUE"""),"Основное мероприятие ""Интеграция ресурсов библиотек, архивов, иных организаций, в том числе осуществляющих функции государственных депозитариев, в Национальную электронную библиотеку""")</f>
        <v>Основное мероприятие "Интеграция ресурсов библиотек, архивов, иных организаций, в том числе осуществляющих функции государственных депозитариев, в Национальную электронную библиотеку"</v>
      </c>
      <c r="B1123" s="101" t="str">
        <f ca="1">IFERROR(__xludf.DUMMYFUNCTION("""COMPUTED_VALUE"""),"индикатор")</f>
        <v>индикатор</v>
      </c>
    </row>
    <row r="1124" spans="1:2" ht="13">
      <c r="A1124" s="101" t="str">
        <f ca="1">IFERROR(__xludf.DUMMYFUNCTION("""COMPUTED_VALUE"""),"Основное мероприятие ""Поддержка экспансии и укрепления международного авторитета национальных баз (банков) знаний, включая журналы и их коллекции""")</f>
        <v>Основное мероприятие "Поддержка экспансии и укрепления международного авторитета национальных баз (банков) знаний, включая журналы и их коллекции"</v>
      </c>
      <c r="B1124" s="101" t="str">
        <f ca="1">IFERROR(__xludf.DUMMYFUNCTION("""COMPUTED_VALUE"""),"индикатор")</f>
        <v>индикатор</v>
      </c>
    </row>
    <row r="1125" spans="1:2" ht="13">
      <c r="A1125" s="101" t="str">
        <f ca="1">IFERROR(__xludf.DUMMYFUNCTION("""COMPUTED_VALUE"""),"Основное мероприятие ""Реализация международных обязательств Российской Федерации в сфере научно-технической и инновационной деятельности""")</f>
        <v>Основное мероприятие "Реализация международных обязательств Российской Федерации в сфере научно-технической и инновационной деятельности"</v>
      </c>
      <c r="B1125" s="101" t="str">
        <f ca="1">IFERROR(__xludf.DUMMYFUNCTION("""COMPUTED_VALUE"""),"индикатор")</f>
        <v>индикатор</v>
      </c>
    </row>
    <row r="1126" spans="1:2" ht="13">
      <c r="A1126" s="101" t="str">
        <f ca="1">IFERROR(__xludf.DUMMYFUNCTION("""COMPUTED_VALUE"""),"Основное мероприятие ""Реализация государственных функций в сфере научной деятельности и высшего образования""")</f>
        <v>Основное мероприятие "Реализация государственных функций в сфере научной деятельности и высшего образования"</v>
      </c>
      <c r="B1126" s="101" t="str">
        <f ca="1">IFERROR(__xludf.DUMMYFUNCTION("""COMPUTED_VALUE"""),"индикатор")</f>
        <v>индикатор</v>
      </c>
    </row>
    <row r="1127" spans="1:2" ht="13">
      <c r="A1127" s="101" t="str">
        <f ca="1">IFERROR(__xludf.DUMMYFUNCTION("""COMPUTED_VALUE"""),"Федеральная целевая программа ""Исследования и разработки по приоритетным направлениям развития научно-технологического комплекса России на 2014 - 2020 годы""")</f>
        <v>Федеральная целевая программа "Исследования и разработки по приоритетным направлениям развития научно-технологического комплекса России на 2014 - 2020 годы"</v>
      </c>
      <c r="B1127" s="101" t="str">
        <f ca="1">IFERROR(__xludf.DUMMYFUNCTION("""COMPUTED_VALUE"""),"индикатор")</f>
        <v>индикатор</v>
      </c>
    </row>
    <row r="1128" spans="1:2" ht="13">
      <c r="A1128" s="101" t="str">
        <f ca="1">IFERROR(__xludf.DUMMYFUNCTION("""COMPUTED_VALUE"""),"Основное мероприятие ""Реализация мероприятий Национальной технологической инициативы""")</f>
        <v>Основное мероприятие "Реализация мероприятий Национальной технологической инициативы"</v>
      </c>
      <c r="B1128" s="101" t="str">
        <f ca="1">IFERROR(__xludf.DUMMYFUNCTION("""COMPUTED_VALUE"""),"индикатор")</f>
        <v>индикатор</v>
      </c>
    </row>
    <row r="1129" spans="1:2" ht="13">
      <c r="A1129" s="101" t="str">
        <f ca="1">IFERROR(__xludf.DUMMYFUNCTION("""COMPUTED_VALUE"""),"Ведомственная целевая программа ""Обеспечение государственного мониторинга сельских территорий""")</f>
        <v>Ведомственная целевая программа "Обеспечение государственного мониторинга сельских территорий"</v>
      </c>
      <c r="B1129" s="101" t="str">
        <f ca="1">IFERROR(__xludf.DUMMYFUNCTION("""COMPUTED_VALUE"""),"индикатор")</f>
        <v>индикатор</v>
      </c>
    </row>
    <row r="1130" spans="1:2" ht="13">
      <c r="A1130" s="101" t="str">
        <f ca="1">IFERROR(__xludf.DUMMYFUNCTION("""COMPUTED_VALUE"""),"Ведомственная целевая программа ""Аналитическая и информационная поддержка комплексного развития сельских территорий""")</f>
        <v>Ведомственная целевая программа "Аналитическая и информационная поддержка комплексного развития сельских территорий"</v>
      </c>
      <c r="B1130" s="101" t="str">
        <f ca="1">IFERROR(__xludf.DUMMYFUNCTION("""COMPUTED_VALUE"""),"индикатор")</f>
        <v>индикатор</v>
      </c>
    </row>
    <row r="1131" spans="1:2" ht="13">
      <c r="A1131" s="101" t="str">
        <f ca="1">IFERROR(__xludf.DUMMYFUNCTION("""COMPUTED_VALUE"""),"Ведомственный проект ""Развитие жилищного строительства на сельских территориях и повышение уровня благоустройства домовладений""")</f>
        <v>Ведомственный проект "Развитие жилищного строительства на сельских территориях и повышение уровня благоустройства домовладений"</v>
      </c>
      <c r="B1131" s="101" t="str">
        <f ca="1">IFERROR(__xludf.DUMMYFUNCTION("""COMPUTED_VALUE"""),"индикатор")</f>
        <v>индикатор</v>
      </c>
    </row>
    <row r="1132" spans="1:2" ht="13">
      <c r="A1132" s="101" t="str">
        <f ca="1">IFERROR(__xludf.DUMMYFUNCTION("""COMPUTED_VALUE"""),"Ведомственный проект ""Содействие занятости сельского населения""")</f>
        <v>Ведомственный проект "Содействие занятости сельского населения"</v>
      </c>
      <c r="B1132" s="101" t="str">
        <f ca="1">IFERROR(__xludf.DUMMYFUNCTION("""COMPUTED_VALUE"""),"индикатор")</f>
        <v>индикатор</v>
      </c>
    </row>
    <row r="1133" spans="1:2" ht="13">
      <c r="A1133" s="101" t="str">
        <f ca="1">IFERROR(__xludf.DUMMYFUNCTION("""COMPUTED_VALUE"""),"Ведомственная целевая программа ""Современный облик сельских территорий""")</f>
        <v>Ведомственная целевая программа "Современный облик сельских территорий"</v>
      </c>
      <c r="B1133" s="101" t="str">
        <f ca="1">IFERROR(__xludf.DUMMYFUNCTION("""COMPUTED_VALUE"""),"индикатор")</f>
        <v>индикатор</v>
      </c>
    </row>
    <row r="1134" spans="1:2" ht="13">
      <c r="A1134" s="101" t="str">
        <f ca="1">IFERROR(__xludf.DUMMYFUNCTION("""COMPUTED_VALUE"""),"Ведомственный проект ""Развитие инженерной инфраструктуры на сельских территориях""")</f>
        <v>Ведомственный проект "Развитие инженерной инфраструктуры на сельских территориях"</v>
      </c>
      <c r="B1134" s="101" t="str">
        <f ca="1">IFERROR(__xludf.DUMMYFUNCTION("""COMPUTED_VALUE"""),"индикатор")</f>
        <v>индикатор</v>
      </c>
    </row>
    <row r="1135" spans="1:2" ht="13">
      <c r="A1135" s="101" t="str">
        <f ca="1">IFERROR(__xludf.DUMMYFUNCTION("""COMPUTED_VALUE"""),"Ведомственный проект ""Развитие транспортной инфраструктуры на сельских территориях""")</f>
        <v>Ведомственный проект "Развитие транспортной инфраструктуры на сельских территориях"</v>
      </c>
      <c r="B1135" s="101" t="str">
        <f ca="1">IFERROR(__xludf.DUMMYFUNCTION("""COMPUTED_VALUE"""),"индикатор")</f>
        <v>индикатор</v>
      </c>
    </row>
    <row r="1136" spans="1:2" ht="13">
      <c r="A1136" s="101" t="str">
        <f ca="1">IFERROR(__xludf.DUMMYFUNCTION("""COMPUTED_VALUE"""),"Ведомственный проект ""Благоустройство сельских территорий""")</f>
        <v>Ведомственный проект "Благоустройство сельских территорий"</v>
      </c>
      <c r="B1136" s="101" t="str">
        <f ca="1">IFERROR(__xludf.DUMMYFUNCTION("""COMPUTED_VALUE"""),"индикатор")</f>
        <v>индикатор</v>
      </c>
    </row>
    <row r="1137" spans="1:2" ht="13">
      <c r="A1137" s="101" t="str">
        <f ca="1">IFERROR(__xludf.DUMMYFUNCTION("""COMPUTED_VALUE"""),"Основное мероприятие ""Реализация функций аппарата ответственного исполнителя государственной программы""")</f>
        <v>Основное мероприятие "Реализация функций аппарата ответственного исполнителя государственной программы"</v>
      </c>
      <c r="B1137" s="101" t="str">
        <f ca="1">IFERROR(__xludf.DUMMYFUNCTION("""COMPUTED_VALUE"""),"индикатор")</f>
        <v>индикатор</v>
      </c>
    </row>
    <row r="1138" spans="1:2" ht="13">
      <c r="A1138" s="101" t="str">
        <f ca="1">IFERROR(__xludf.DUMMYFUNCTION("""COMPUTED_VALUE"""),"Основное мероприятие ""Обеспечение функционирования системы государственного материального резерва""")</f>
        <v>Основное мероприятие "Обеспечение функционирования системы государственного материального резерва"</v>
      </c>
      <c r="B1138" s="101" t="str">
        <f ca="1">IFERROR(__xludf.DUMMYFUNCTION("""COMPUTED_VALUE"""),"индикатор")</f>
        <v>индикатор</v>
      </c>
    </row>
    <row r="1139" spans="1:2" ht="13">
      <c r="A1139" s="101" t="str">
        <f ca="1">IFERROR(__xludf.DUMMYFUNCTION("""COMPUTED_VALUE"""),"Основное мероприятие ""Развитие и поддержание инфраструктуры Министерства обороны Российской Федерации""")</f>
        <v>Основное мероприятие "Развитие и поддержание инфраструктуры Министерства обороны Российской Федерации"</v>
      </c>
      <c r="B1139" s="101" t="str">
        <f ca="1">IFERROR(__xludf.DUMMYFUNCTION("""COMPUTED_VALUE"""),"индикатор")</f>
        <v>индикатор</v>
      </c>
    </row>
    <row r="1140" spans="1:2" ht="13">
      <c r="A1140" s="101" t="str">
        <f ca="1">IFERROR(__xludf.DUMMYFUNCTION("""COMPUTED_VALUE"""),"Основное мероприятие ""Научные исследования в области обороны""")</f>
        <v>Основное мероприятие "Научные исследования в области обороны"</v>
      </c>
      <c r="B1140" s="101" t="str">
        <f ca="1">IFERROR(__xludf.DUMMYFUNCTION("""COMPUTED_VALUE"""),"индикатор")</f>
        <v>индикатор</v>
      </c>
    </row>
    <row r="1141" spans="1:2" ht="13">
      <c r="A1141" s="101" t="str">
        <f ca="1">IFERROR(__xludf.DUMMYFUNCTION("""COMPUTED_VALUE"""),"Основное мероприятие ""Развитие транспортного машиностроения""")</f>
        <v>Основное мероприятие "Развитие транспортного машиностроения"</v>
      </c>
      <c r="B1141" s="101" t="str">
        <f ca="1">IFERROR(__xludf.DUMMYFUNCTION("""COMPUTED_VALUE"""),"индикатор")</f>
        <v>индикатор</v>
      </c>
    </row>
    <row r="1142" spans="1:2" ht="13">
      <c r="A1142" s="101" t="str">
        <f ca="1">IFERROR(__xludf.DUMMYFUNCTION("""COMPUTED_VALUE"""),"Основное мероприятие ""Реализация отдельных мероприятий приоритетного проекта ""Системные меры развития международной кооперации и экспорта"" в рамках внешнеэкономической деятельности""")</f>
        <v>Основное мероприятие "Реализация отдельных мероприятий приоритетного проекта "Системные меры развития международной кооперации и экспорта" в рамках внешнеэкономической деятельности"</v>
      </c>
      <c r="B1142" s="101" t="str">
        <f ca="1">IFERROR(__xludf.DUMMYFUNCTION("""COMPUTED_VALUE"""),"индикатор")</f>
        <v>индикатор</v>
      </c>
    </row>
    <row r="1143" spans="1:2" ht="13">
      <c r="A1143" s="101" t="str">
        <f ca="1">IFERROR(__xludf.DUMMYFUNCTION("""COMPUTED_VALUE"""),"Ведомственный проект ""Создание в субъектах Российской Федерации дополнительных мест для детей в возрасте от двух месяцев до трех лет в организациях, реализующих программы дошкольного образования на 2018 - 2020 годы""")</f>
        <v>Ведомственный проект "Создание в субъектах Российской Федерации дополнительных мест для детей в возрасте от двух месяцев до трех лет в организациях, реализующих программы дошкольного образования на 2018 - 2020 годы"</v>
      </c>
      <c r="B1143" s="101" t="str">
        <f ca="1">IFERROR(__xludf.DUMMYFUNCTION("""COMPUTED_VALUE"""),"индикатор")</f>
        <v>индикатор</v>
      </c>
    </row>
    <row r="1144" spans="1:2" ht="13">
      <c r="A1144" s="101" t="str">
        <f ca="1">IFERROR(__xludf.DUMMYFUNCTION("""COMPUTED_VALUE"""),"Приоритетный проект ""Создание современной образовательной среды для школьников""")</f>
        <v>Приоритетный проект "Создание современной образовательной среды для школьников"</v>
      </c>
      <c r="B1144" s="101" t="str">
        <f ca="1">IFERROR(__xludf.DUMMYFUNCTION("""COMPUTED_VALUE"""),"индикатор")</f>
        <v>индикатор</v>
      </c>
    </row>
    <row r="1145" spans="1:2" ht="13">
      <c r="A1145" s="101" t="str">
        <f ca="1">IFERROR(__xludf.DUMMYFUNCTION("""COMPUTED_VALUE"""),"Основное мероприятие ""Реализация прикладных научных исследований и экспериментальных разработок, выполняемых по государственным контрактам и договорам на проведение научно-исследовательских, опытно-конструкторских и технологических работ""")</f>
        <v>Основное мероприятие "Реализация прикладных научных исследований и экспериментальных разработок, выполняемых по государственным контрактам и договорам на проведение научно-исследовательских, опытно-конструкторских и технологических работ"</v>
      </c>
      <c r="B1145" s="101" t="str">
        <f ca="1">IFERROR(__xludf.DUMMYFUNCTION("""COMPUTED_VALUE"""),"индикатор")</f>
        <v>индикатор</v>
      </c>
    </row>
    <row r="1146" spans="1:2" ht="13">
      <c r="A1146" s="101" t="str">
        <f ca="1">IFERROR(__xludf.DUMMYFUNCTION("""COMPUTED_VALUE"""),"Основное мероприятие ""Проведение аварийно-восстановительных работ и иных мероприятий, связанных с ликвидацией последствий стихийных бедствий и других чрезвычайных ситуаций""")</f>
        <v>Основное мероприятие "Проведение аварийно-восстановительных работ и иных мероприятий, связанных с ликвидацией последствий стихийных бедствий и других чрезвычайных ситуаций"</v>
      </c>
      <c r="B1146" s="101" t="str">
        <f ca="1">IFERROR(__xludf.DUMMYFUNCTION("""COMPUTED_VALUE"""),"индикатор")</f>
        <v>индикатор</v>
      </c>
    </row>
    <row r="1147" spans="1:2" ht="13">
      <c r="A1147" s="101" t="str">
        <f ca="1">IFERROR(__xludf.DUMMYFUNCTION("""COMPUTED_VALUE"""),"Основное мероприятие ""Федеральная финансовая программа поддержки малого и среднего предпринимательства""")</f>
        <v>Основное мероприятие "Федеральная финансовая программа поддержки малого и среднего предпринимательства"</v>
      </c>
      <c r="B1147" s="101" t="str">
        <f ca="1">IFERROR(__xludf.DUMMYFUNCTION("""COMPUTED_VALUE"""),"индикатор")</f>
        <v>индикатор</v>
      </c>
    </row>
    <row r="1148" spans="1:2" ht="13">
      <c r="A1148" s="101" t="str">
        <f ca="1">IFERROR(__xludf.DUMMYFUNCTION("""COMPUTED_VALUE"""),"Основное мероприятие ""Государственная поддержка инвестиционных проектов, реализуемых на территориях Республики Бурятия и Забайкальского края""")</f>
        <v>Основное мероприятие "Государственная поддержка инвестиционных проектов, реализуемых на территориях Республики Бурятия и Забайкальского края"</v>
      </c>
      <c r="B1148" s="101" t="str">
        <f ca="1">IFERROR(__xludf.DUMMYFUNCTION("""COMPUTED_VALUE"""),"индикатор")</f>
        <v>индикатор</v>
      </c>
    </row>
    <row r="1149" spans="1:2" ht="13">
      <c r="A1149" s="101" t="str">
        <f ca="1">IFERROR(__xludf.DUMMYFUNCTION("""COMPUTED_VALUE"""),"Основное мероприятие ""Совершенствование системы социального обслуживания граждан""")</f>
        <v>Основное мероприятие "Совершенствование системы социального обслуживания граждан"</v>
      </c>
      <c r="B1149" s="101" t="str">
        <f ca="1">IFERROR(__xludf.DUMMYFUNCTION("""COMPUTED_VALUE"""),"индикатор")</f>
        <v>индикатор</v>
      </c>
    </row>
    <row r="1150" spans="1:2" ht="13">
      <c r="A1150" s="101" t="str">
        <f ca="1">IFERROR(__xludf.DUMMYFUNCTION("""COMPUTED_VALUE"""),"Основное мероприятие ""Создание, развитие и имплементация системы соглашений по формированию и обеспечению функционирования Евразийского экономического союза""")</f>
        <v>Основное мероприятие "Создание, развитие и имплементация системы соглашений по формированию и обеспечению функционирования Евразийского экономического союза"</v>
      </c>
      <c r="B1150" s="101" t="str">
        <f ca="1">IFERROR(__xludf.DUMMYFUNCTION("""COMPUTED_VALUE"""),"индикатор")</f>
        <v>индикатор</v>
      </c>
    </row>
    <row r="1151" spans="1:2" ht="13">
      <c r="A1151" s="101" t="str">
        <f ca="1">IFERROR(__xludf.DUMMYFUNCTION("""COMPUTED_VALUE"""),"Оказана финансовая поддержка в виде возмещения недополученных доходов по кредитам, выданным региональным операторам по обращению с твердыми коммунальными отходами по льготной ставке")</f>
        <v>Оказана финансовая поддержка в виде возмещения недополученных доходов по кредитам, выданным региональным операторам по обращению с твердыми коммунальными отходами по льготной ставке</v>
      </c>
      <c r="B1151" s="101" t="str">
        <f ca="1">IFERROR(__xludf.DUMMYFUNCTION("""COMPUTED_VALUE"""),"индикатор")</f>
        <v>индикатор</v>
      </c>
    </row>
    <row r="1152" spans="1:2" ht="13">
      <c r="A1152" s="101" t="str">
        <f ca="1">IFERROR(__xludf.DUMMYFUNCTION("""COMPUTED_VALUE"""),"Субъектами Российской Федерации обеспечена деятельность по оказанию коммунальной услуги населению по обращению с твердыми коммунальными отходами")</f>
        <v>Субъектами Российской Федерации обеспечена деятельность по оказанию коммунальной услуги населению по обращению с твердыми коммунальными отходами</v>
      </c>
      <c r="B1152" s="101" t="str">
        <f ca="1">IFERROR(__xludf.DUMMYFUNCTION("""COMPUTED_VALUE"""),"индикатор")</f>
        <v>индикатор</v>
      </c>
    </row>
    <row r="1153" spans="1:2" ht="13">
      <c r="A1153" s="101" t="str">
        <f ca="1">IFERROR(__xludf.DUMMYFUNCTION("""COMPUTED_VALUE"""),"К концу 2020 года объем реализованных и (или) отгруженных на собственную переработку бобов соевых  и (или) семян рапса составит 7 167,4 тыс.тонн")</f>
        <v>К концу 2020 года объем реализованных и (или) отгруженных на собственную переработку бобов соевых  и (или) семян рапса составит 7 167,4 тыс.тонн</v>
      </c>
      <c r="B1153" s="101" t="str">
        <f ca="1">IFERROR(__xludf.DUMMYFUNCTION("""COMPUTED_VALUE"""),"индикатор")</f>
        <v>индикатор</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4"/>
  <sheetViews>
    <sheetView zoomScale="67" zoomScaleNormal="67" workbookViewId="0">
      <selection activeCell="M15" sqref="M15"/>
    </sheetView>
  </sheetViews>
  <sheetFormatPr baseColWidth="10" defaultColWidth="11.5" defaultRowHeight="13"/>
  <sheetData>
    <row r="2" spans="1:19" ht="18" customHeight="1">
      <c r="A2" s="322" t="s">
        <v>3419</v>
      </c>
      <c r="B2" s="322"/>
      <c r="C2" s="322"/>
      <c r="D2" s="322"/>
      <c r="E2" s="322"/>
      <c r="F2" s="322"/>
      <c r="G2" s="322"/>
      <c r="H2" s="322"/>
      <c r="I2" s="322"/>
      <c r="J2" s="322"/>
      <c r="K2" s="322"/>
      <c r="L2" s="315"/>
      <c r="M2" s="315"/>
      <c r="N2" s="315"/>
      <c r="O2" s="315"/>
      <c r="P2" s="315"/>
      <c r="Q2" s="315"/>
      <c r="R2" s="315"/>
      <c r="S2" s="315"/>
    </row>
    <row r="3" spans="1:19" ht="13" customHeight="1">
      <c r="A3" s="322"/>
      <c r="B3" s="322"/>
      <c r="C3" s="322"/>
      <c r="D3" s="322"/>
      <c r="E3" s="322"/>
      <c r="F3" s="322"/>
      <c r="G3" s="322"/>
      <c r="H3" s="322"/>
      <c r="I3" s="322"/>
      <c r="J3" s="322"/>
      <c r="K3" s="322"/>
      <c r="L3" s="315"/>
      <c r="M3" s="315"/>
      <c r="N3" s="315"/>
      <c r="O3" s="315"/>
      <c r="P3" s="315"/>
      <c r="Q3" s="315"/>
      <c r="R3" s="315"/>
      <c r="S3" s="315"/>
    </row>
    <row r="4" spans="1:19">
      <c r="A4" s="322"/>
      <c r="B4" s="322"/>
      <c r="C4" s="322"/>
      <c r="D4" s="322"/>
      <c r="E4" s="322"/>
      <c r="F4" s="322"/>
      <c r="G4" s="322"/>
      <c r="H4" s="322"/>
      <c r="I4" s="322"/>
      <c r="J4" s="322"/>
      <c r="K4" s="322"/>
      <c r="L4" s="314"/>
      <c r="M4" s="314"/>
      <c r="N4" s="314"/>
      <c r="O4" s="314"/>
      <c r="P4" s="314"/>
      <c r="Q4" s="314"/>
      <c r="R4" s="314"/>
    </row>
  </sheetData>
  <mergeCells count="1">
    <mergeCell ref="A2: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ummaryRight="0"/>
  </sheetPr>
  <dimension ref="A1:AC994"/>
  <sheetViews>
    <sheetView workbookViewId="0">
      <pane ySplit="1" topLeftCell="A2" activePane="bottomLeft" state="frozen"/>
      <selection pane="bottomLeft" activeCell="B3" sqref="B3"/>
    </sheetView>
  </sheetViews>
  <sheetFormatPr baseColWidth="10" defaultColWidth="14.5" defaultRowHeight="15.75" customHeight="1"/>
  <cols>
    <col min="1" max="1" width="3.5" customWidth="1"/>
    <col min="2" max="2" width="18" customWidth="1"/>
    <col min="3" max="3" width="52.6640625" customWidth="1"/>
    <col min="4" max="4" width="28.5" customWidth="1"/>
    <col min="5" max="5" width="136.1640625" customWidth="1"/>
    <col min="6" max="6" width="48.1640625" customWidth="1"/>
    <col min="7" max="7" width="17.6640625" customWidth="1"/>
    <col min="8" max="8" width="44.6640625" customWidth="1"/>
    <col min="9" max="9" width="23.83203125" customWidth="1"/>
  </cols>
  <sheetData>
    <row r="1" spans="1:29" ht="42">
      <c r="A1" s="1" t="s">
        <v>0</v>
      </c>
      <c r="B1" s="1" t="s">
        <v>103</v>
      </c>
      <c r="C1" s="1" t="s">
        <v>104</v>
      </c>
      <c r="D1" s="1" t="s">
        <v>105</v>
      </c>
      <c r="E1" s="1" t="s">
        <v>106</v>
      </c>
      <c r="F1" s="1" t="s">
        <v>107</v>
      </c>
      <c r="G1" s="1" t="s">
        <v>108</v>
      </c>
      <c r="H1" s="1" t="s">
        <v>109</v>
      </c>
      <c r="I1" s="11"/>
      <c r="J1" s="11"/>
      <c r="K1" s="11"/>
      <c r="L1" s="11"/>
      <c r="M1" s="11"/>
      <c r="N1" s="11"/>
      <c r="O1" s="11"/>
      <c r="P1" s="11"/>
      <c r="Q1" s="11"/>
      <c r="R1" s="11"/>
      <c r="S1" s="11"/>
      <c r="T1" s="11"/>
      <c r="U1" s="11"/>
      <c r="V1" s="11"/>
      <c r="W1" s="11"/>
      <c r="X1" s="11"/>
      <c r="Y1" s="11"/>
      <c r="Z1" s="11"/>
      <c r="AA1" s="11"/>
      <c r="AB1" s="11"/>
      <c r="AC1" s="11"/>
    </row>
    <row r="2" spans="1:29" ht="244.5" customHeight="1">
      <c r="A2" s="4">
        <v>1</v>
      </c>
      <c r="B2" s="12" t="s">
        <v>110</v>
      </c>
      <c r="C2" s="12" t="s">
        <v>111</v>
      </c>
      <c r="D2" s="4"/>
      <c r="E2" s="4" t="s">
        <v>112</v>
      </c>
      <c r="F2" s="4" t="s">
        <v>113</v>
      </c>
      <c r="G2" s="4" t="s">
        <v>114</v>
      </c>
      <c r="H2" s="4" t="s">
        <v>115</v>
      </c>
      <c r="I2" s="11"/>
      <c r="J2" s="11"/>
      <c r="K2" s="11"/>
      <c r="L2" s="11"/>
      <c r="M2" s="11"/>
      <c r="N2" s="11"/>
      <c r="O2" s="11"/>
      <c r="P2" s="11"/>
      <c r="Q2" s="11"/>
      <c r="R2" s="11"/>
      <c r="S2" s="11"/>
      <c r="T2" s="11"/>
      <c r="U2" s="11"/>
      <c r="V2" s="11"/>
      <c r="W2" s="11"/>
      <c r="X2" s="11"/>
      <c r="Y2" s="11"/>
      <c r="Z2" s="11"/>
      <c r="AA2" s="11"/>
      <c r="AB2" s="11"/>
      <c r="AC2" s="11"/>
    </row>
    <row r="3" spans="1:29" ht="70">
      <c r="A3" s="4">
        <v>2</v>
      </c>
      <c r="B3" s="13" t="s">
        <v>116</v>
      </c>
      <c r="C3" s="13" t="s">
        <v>117</v>
      </c>
      <c r="D3" s="4"/>
      <c r="E3" s="4" t="s">
        <v>118</v>
      </c>
      <c r="F3" s="4" t="s">
        <v>119</v>
      </c>
      <c r="G3" s="4" t="s">
        <v>120</v>
      </c>
      <c r="H3" s="4"/>
      <c r="I3" s="11"/>
      <c r="J3" s="11"/>
      <c r="K3" s="11"/>
      <c r="L3" s="11"/>
      <c r="M3" s="11"/>
      <c r="N3" s="11"/>
      <c r="O3" s="11"/>
      <c r="P3" s="11"/>
      <c r="Q3" s="11"/>
      <c r="R3" s="11"/>
      <c r="S3" s="11"/>
      <c r="T3" s="11"/>
      <c r="U3" s="11"/>
      <c r="V3" s="11"/>
      <c r="W3" s="11"/>
      <c r="X3" s="11"/>
      <c r="Y3" s="11"/>
      <c r="Z3" s="11"/>
      <c r="AA3" s="11"/>
      <c r="AB3" s="11"/>
      <c r="AC3" s="11"/>
    </row>
    <row r="4" spans="1:29" ht="98">
      <c r="A4" s="4">
        <v>3</v>
      </c>
      <c r="B4" s="13" t="s">
        <v>121</v>
      </c>
      <c r="C4" s="13" t="s">
        <v>122</v>
      </c>
      <c r="D4" s="4"/>
      <c r="E4" s="4" t="s">
        <v>123</v>
      </c>
      <c r="F4" s="4" t="s">
        <v>124</v>
      </c>
      <c r="G4" s="4" t="s">
        <v>120</v>
      </c>
      <c r="H4" s="4" t="s">
        <v>125</v>
      </c>
      <c r="I4" s="11"/>
      <c r="J4" s="11"/>
      <c r="K4" s="11"/>
      <c r="L4" s="11"/>
      <c r="M4" s="11"/>
      <c r="N4" s="11"/>
      <c r="O4" s="11"/>
      <c r="P4" s="11"/>
      <c r="Q4" s="11"/>
      <c r="R4" s="11"/>
      <c r="S4" s="11"/>
      <c r="T4" s="11"/>
      <c r="U4" s="11"/>
      <c r="V4" s="11"/>
      <c r="W4" s="11"/>
      <c r="X4" s="11"/>
      <c r="Y4" s="11"/>
      <c r="Z4" s="11"/>
      <c r="AA4" s="11"/>
      <c r="AB4" s="11"/>
      <c r="AC4" s="11"/>
    </row>
    <row r="5" spans="1:29" ht="150" customHeight="1">
      <c r="A5" s="4">
        <v>4</v>
      </c>
      <c r="B5" s="12" t="s">
        <v>126</v>
      </c>
      <c r="C5" s="12" t="s">
        <v>127</v>
      </c>
      <c r="D5" s="4"/>
      <c r="E5" s="4" t="s">
        <v>128</v>
      </c>
      <c r="F5" s="4" t="s">
        <v>119</v>
      </c>
      <c r="G5" s="4" t="s">
        <v>120</v>
      </c>
      <c r="H5" s="4"/>
      <c r="I5" s="11"/>
      <c r="J5" s="11"/>
      <c r="K5" s="11"/>
      <c r="L5" s="11"/>
      <c r="M5" s="11"/>
      <c r="N5" s="11"/>
      <c r="O5" s="11"/>
      <c r="P5" s="11"/>
      <c r="Q5" s="11"/>
      <c r="R5" s="11"/>
      <c r="S5" s="11"/>
      <c r="T5" s="11"/>
      <c r="U5" s="11"/>
      <c r="V5" s="11"/>
      <c r="W5" s="11"/>
      <c r="X5" s="11"/>
      <c r="Y5" s="11"/>
      <c r="Z5" s="11"/>
      <c r="AA5" s="11"/>
      <c r="AB5" s="11"/>
      <c r="AC5" s="11"/>
    </row>
    <row r="6" spans="1:29" ht="78.75" customHeight="1">
      <c r="A6" s="4">
        <v>5</v>
      </c>
      <c r="B6" s="14" t="s">
        <v>129</v>
      </c>
      <c r="C6" s="14" t="s">
        <v>130</v>
      </c>
      <c r="D6" s="4"/>
      <c r="E6" s="4" t="s">
        <v>131</v>
      </c>
      <c r="F6" s="4" t="s">
        <v>132</v>
      </c>
      <c r="G6" s="4" t="s">
        <v>133</v>
      </c>
      <c r="H6" s="4"/>
      <c r="I6" s="11"/>
      <c r="J6" s="11"/>
      <c r="K6" s="11"/>
      <c r="L6" s="11"/>
      <c r="M6" s="11"/>
      <c r="N6" s="11"/>
      <c r="O6" s="11"/>
      <c r="P6" s="11"/>
      <c r="Q6" s="11"/>
      <c r="R6" s="11"/>
      <c r="S6" s="11"/>
      <c r="T6" s="11"/>
      <c r="U6" s="11"/>
      <c r="V6" s="11"/>
      <c r="W6" s="11"/>
      <c r="X6" s="11"/>
      <c r="Y6" s="11"/>
      <c r="Z6" s="11"/>
      <c r="AA6" s="11"/>
      <c r="AB6" s="11"/>
      <c r="AC6" s="11"/>
    </row>
    <row r="7" spans="1:29" ht="117.75" customHeight="1">
      <c r="A7" s="4">
        <v>6</v>
      </c>
      <c r="B7" s="14" t="s">
        <v>134</v>
      </c>
      <c r="C7" s="14" t="s">
        <v>135</v>
      </c>
      <c r="D7" s="4"/>
      <c r="E7" s="4" t="s">
        <v>136</v>
      </c>
      <c r="F7" s="4" t="s">
        <v>137</v>
      </c>
      <c r="G7" s="4" t="s">
        <v>138</v>
      </c>
      <c r="H7" s="4"/>
      <c r="I7" s="11"/>
      <c r="J7" s="11"/>
      <c r="K7" s="11"/>
      <c r="L7" s="11"/>
      <c r="M7" s="11"/>
      <c r="N7" s="11"/>
      <c r="O7" s="11"/>
      <c r="P7" s="11"/>
      <c r="Q7" s="11"/>
      <c r="R7" s="11"/>
      <c r="S7" s="11"/>
      <c r="T7" s="11"/>
      <c r="U7" s="11"/>
      <c r="V7" s="11"/>
      <c r="W7" s="11"/>
      <c r="X7" s="11"/>
      <c r="Y7" s="11"/>
      <c r="Z7" s="11"/>
      <c r="AA7" s="11"/>
      <c r="AB7" s="11"/>
      <c r="AC7" s="11"/>
    </row>
    <row r="8" spans="1:29" ht="138.75" customHeight="1">
      <c r="A8" s="4">
        <v>7</v>
      </c>
      <c r="B8" s="12" t="s">
        <v>139</v>
      </c>
      <c r="C8" s="12" t="s">
        <v>140</v>
      </c>
      <c r="D8" s="4"/>
      <c r="E8" s="4" t="s">
        <v>141</v>
      </c>
      <c r="F8" s="4" t="s">
        <v>142</v>
      </c>
      <c r="G8" s="4" t="s">
        <v>120</v>
      </c>
      <c r="H8" s="4"/>
      <c r="I8" s="11"/>
      <c r="J8" s="11"/>
      <c r="K8" s="11"/>
      <c r="L8" s="11"/>
      <c r="M8" s="11"/>
      <c r="N8" s="11"/>
      <c r="O8" s="11"/>
      <c r="P8" s="11"/>
      <c r="Q8" s="11"/>
      <c r="R8" s="11"/>
      <c r="S8" s="11"/>
      <c r="T8" s="11"/>
      <c r="U8" s="11"/>
      <c r="V8" s="11"/>
      <c r="W8" s="11"/>
      <c r="X8" s="11"/>
      <c r="Y8" s="11"/>
      <c r="Z8" s="11"/>
      <c r="AA8" s="11"/>
      <c r="AB8" s="11"/>
      <c r="AC8" s="11"/>
    </row>
    <row r="9" spans="1:29" ht="136.5" customHeight="1">
      <c r="A9" s="4">
        <v>8</v>
      </c>
      <c r="B9" s="12" t="s">
        <v>143</v>
      </c>
      <c r="C9" s="12" t="s">
        <v>144</v>
      </c>
      <c r="D9" s="4"/>
      <c r="E9" s="4" t="s">
        <v>145</v>
      </c>
      <c r="F9" s="4" t="s">
        <v>146</v>
      </c>
      <c r="G9" s="4" t="s">
        <v>120</v>
      </c>
      <c r="H9" s="4"/>
      <c r="I9" s="11"/>
      <c r="J9" s="11"/>
      <c r="K9" s="11"/>
      <c r="L9" s="11"/>
      <c r="M9" s="11"/>
      <c r="N9" s="11"/>
      <c r="O9" s="11"/>
      <c r="P9" s="11"/>
      <c r="Q9" s="11"/>
      <c r="R9" s="11"/>
      <c r="S9" s="11"/>
      <c r="T9" s="11"/>
      <c r="U9" s="11"/>
      <c r="V9" s="11"/>
      <c r="W9" s="11"/>
      <c r="X9" s="11"/>
      <c r="Y9" s="11"/>
      <c r="Z9" s="11"/>
      <c r="AA9" s="11"/>
      <c r="AB9" s="11"/>
      <c r="AC9" s="11"/>
    </row>
    <row r="10" spans="1:29" ht="252" customHeight="1">
      <c r="A10" s="4">
        <v>9</v>
      </c>
      <c r="B10" s="14" t="s">
        <v>147</v>
      </c>
      <c r="C10" s="14" t="s">
        <v>148</v>
      </c>
      <c r="D10" s="4"/>
      <c r="E10" s="4" t="s">
        <v>149</v>
      </c>
      <c r="F10" s="4" t="s">
        <v>150</v>
      </c>
      <c r="G10" s="4" t="s">
        <v>114</v>
      </c>
      <c r="H10" s="4" t="s">
        <v>151</v>
      </c>
      <c r="I10" s="11"/>
      <c r="J10" s="11"/>
      <c r="K10" s="11"/>
      <c r="L10" s="11"/>
      <c r="M10" s="11"/>
      <c r="N10" s="11"/>
      <c r="O10" s="11"/>
      <c r="P10" s="11"/>
      <c r="Q10" s="11"/>
      <c r="R10" s="11"/>
      <c r="S10" s="11"/>
      <c r="T10" s="11"/>
      <c r="U10" s="11"/>
      <c r="V10" s="11"/>
      <c r="W10" s="11"/>
      <c r="X10" s="11"/>
      <c r="Y10" s="11"/>
      <c r="Z10" s="11"/>
      <c r="AA10" s="11"/>
      <c r="AB10" s="11"/>
      <c r="AC10" s="11"/>
    </row>
    <row r="11" spans="1:29" ht="182">
      <c r="A11" s="4">
        <v>10</v>
      </c>
      <c r="B11" s="12" t="s">
        <v>152</v>
      </c>
      <c r="C11" s="12" t="s">
        <v>153</v>
      </c>
      <c r="D11" s="4"/>
      <c r="E11" s="4" t="s">
        <v>154</v>
      </c>
      <c r="F11" s="4" t="s">
        <v>155</v>
      </c>
      <c r="G11" s="4" t="s">
        <v>156</v>
      </c>
      <c r="H11" s="4" t="s">
        <v>157</v>
      </c>
      <c r="I11" s="11"/>
      <c r="J11" s="11"/>
      <c r="K11" s="11"/>
      <c r="L11" s="11"/>
      <c r="M11" s="11"/>
      <c r="N11" s="11"/>
      <c r="O11" s="11"/>
      <c r="P11" s="11"/>
      <c r="Q11" s="11"/>
      <c r="R11" s="11"/>
      <c r="S11" s="11"/>
      <c r="T11" s="11"/>
      <c r="U11" s="11"/>
      <c r="V11" s="11"/>
      <c r="W11" s="11"/>
      <c r="X11" s="11"/>
      <c r="Y11" s="11"/>
      <c r="Z11" s="11"/>
      <c r="AA11" s="11"/>
      <c r="AB11" s="11"/>
      <c r="AC11" s="11"/>
    </row>
    <row r="12" spans="1:29" ht="84">
      <c r="A12" s="4">
        <v>11</v>
      </c>
      <c r="B12" s="12" t="s">
        <v>158</v>
      </c>
      <c r="C12" s="12" t="s">
        <v>159</v>
      </c>
      <c r="D12" s="4"/>
      <c r="E12" s="4" t="s">
        <v>160</v>
      </c>
      <c r="F12" s="4" t="s">
        <v>161</v>
      </c>
      <c r="G12" s="4" t="s">
        <v>162</v>
      </c>
      <c r="H12" s="4" t="s">
        <v>163</v>
      </c>
      <c r="I12" s="11"/>
      <c r="J12" s="11"/>
      <c r="K12" s="11"/>
      <c r="L12" s="11"/>
      <c r="M12" s="11"/>
      <c r="N12" s="11"/>
      <c r="O12" s="11"/>
      <c r="P12" s="11"/>
      <c r="Q12" s="11"/>
      <c r="R12" s="11"/>
      <c r="S12" s="11"/>
      <c r="T12" s="11"/>
      <c r="U12" s="11"/>
      <c r="V12" s="11"/>
      <c r="W12" s="11"/>
      <c r="X12" s="11"/>
      <c r="Y12" s="11"/>
      <c r="Z12" s="11"/>
      <c r="AA12" s="11"/>
      <c r="AB12" s="11"/>
      <c r="AC12" s="11"/>
    </row>
    <row r="13" spans="1:29" ht="84">
      <c r="A13" s="4">
        <v>12</v>
      </c>
      <c r="B13" s="14" t="s">
        <v>164</v>
      </c>
      <c r="C13" s="14" t="s">
        <v>165</v>
      </c>
      <c r="D13" s="4"/>
      <c r="E13" s="4" t="s">
        <v>166</v>
      </c>
      <c r="F13" s="4" t="s">
        <v>167</v>
      </c>
      <c r="G13" s="4" t="s">
        <v>120</v>
      </c>
      <c r="H13" s="4"/>
      <c r="I13" s="11"/>
      <c r="J13" s="11"/>
      <c r="K13" s="11"/>
      <c r="L13" s="11"/>
      <c r="M13" s="11"/>
      <c r="N13" s="11"/>
      <c r="O13" s="11"/>
      <c r="P13" s="11"/>
      <c r="Q13" s="11"/>
      <c r="R13" s="11"/>
      <c r="S13" s="11"/>
      <c r="T13" s="11"/>
      <c r="U13" s="11"/>
      <c r="V13" s="11"/>
      <c r="W13" s="11"/>
      <c r="X13" s="11"/>
      <c r="Y13" s="11"/>
      <c r="Z13" s="11"/>
      <c r="AA13" s="11"/>
      <c r="AB13" s="11"/>
      <c r="AC13" s="11"/>
    </row>
    <row r="14" spans="1:29" ht="70">
      <c r="A14" s="4">
        <v>13</v>
      </c>
      <c r="B14" s="12" t="s">
        <v>168</v>
      </c>
      <c r="C14" s="12" t="s">
        <v>169</v>
      </c>
      <c r="D14" s="4"/>
      <c r="E14" s="4" t="s">
        <v>170</v>
      </c>
      <c r="F14" s="4" t="s">
        <v>171</v>
      </c>
      <c r="G14" s="4" t="s">
        <v>172</v>
      </c>
      <c r="H14" s="4" t="s">
        <v>173</v>
      </c>
      <c r="I14" s="11"/>
      <c r="J14" s="11"/>
      <c r="K14" s="11"/>
      <c r="L14" s="11"/>
      <c r="M14" s="11"/>
      <c r="N14" s="11"/>
      <c r="O14" s="11"/>
      <c r="P14" s="11"/>
      <c r="Q14" s="11"/>
      <c r="R14" s="11"/>
      <c r="S14" s="11"/>
      <c r="T14" s="11"/>
      <c r="U14" s="11"/>
      <c r="V14" s="11"/>
      <c r="W14" s="11"/>
      <c r="X14" s="11"/>
      <c r="Y14" s="11"/>
      <c r="Z14" s="11"/>
      <c r="AA14" s="11"/>
      <c r="AB14" s="11"/>
      <c r="AC14" s="11"/>
    </row>
    <row r="15" spans="1:29" ht="84">
      <c r="A15" s="4">
        <v>14</v>
      </c>
      <c r="B15" s="14" t="s">
        <v>174</v>
      </c>
      <c r="C15" s="14" t="s">
        <v>175</v>
      </c>
      <c r="D15" s="4"/>
      <c r="E15" s="4" t="s">
        <v>176</v>
      </c>
      <c r="F15" s="4" t="s">
        <v>177</v>
      </c>
      <c r="G15" s="4" t="s">
        <v>178</v>
      </c>
      <c r="H15" s="4" t="s">
        <v>179</v>
      </c>
      <c r="I15" s="11"/>
      <c r="J15" s="11"/>
      <c r="K15" s="11"/>
      <c r="L15" s="11"/>
      <c r="M15" s="11"/>
      <c r="N15" s="11"/>
      <c r="O15" s="11"/>
      <c r="P15" s="11"/>
      <c r="Q15" s="11"/>
      <c r="R15" s="11"/>
      <c r="S15" s="11"/>
      <c r="T15" s="11"/>
      <c r="U15" s="11"/>
      <c r="V15" s="11"/>
      <c r="W15" s="11"/>
      <c r="X15" s="11"/>
      <c r="Y15" s="11"/>
      <c r="Z15" s="11"/>
      <c r="AA15" s="11"/>
      <c r="AB15" s="11"/>
      <c r="AC15" s="11"/>
    </row>
    <row r="16" spans="1:29" ht="141" customHeight="1">
      <c r="A16" s="4">
        <v>15</v>
      </c>
      <c r="B16" s="15" t="s">
        <v>180</v>
      </c>
      <c r="C16" s="15" t="s">
        <v>182</v>
      </c>
      <c r="D16" s="16"/>
      <c r="E16" s="16" t="s">
        <v>183</v>
      </c>
      <c r="F16" s="16" t="s">
        <v>184</v>
      </c>
      <c r="G16" s="16" t="s">
        <v>185</v>
      </c>
      <c r="H16" s="16" t="s">
        <v>186</v>
      </c>
      <c r="I16" s="17"/>
      <c r="J16" s="17"/>
      <c r="K16" s="17"/>
      <c r="L16" s="17"/>
      <c r="M16" s="17"/>
      <c r="N16" s="17"/>
      <c r="O16" s="17"/>
      <c r="P16" s="17"/>
      <c r="Q16" s="17"/>
      <c r="R16" s="17"/>
      <c r="S16" s="17"/>
      <c r="T16" s="17"/>
      <c r="U16" s="17"/>
      <c r="V16" s="17"/>
      <c r="W16" s="17"/>
      <c r="X16" s="17"/>
      <c r="Y16" s="17"/>
      <c r="Z16" s="17"/>
      <c r="AA16" s="17"/>
      <c r="AB16" s="17"/>
      <c r="AC16" s="17"/>
    </row>
    <row r="17" spans="1:29" ht="54.75" customHeight="1">
      <c r="A17" s="4">
        <v>16</v>
      </c>
      <c r="B17" s="13" t="s">
        <v>187</v>
      </c>
      <c r="C17" s="13" t="s">
        <v>188</v>
      </c>
      <c r="D17" s="4"/>
      <c r="E17" s="4" t="s">
        <v>189</v>
      </c>
      <c r="F17" s="4" t="s">
        <v>190</v>
      </c>
      <c r="G17" s="4" t="s">
        <v>191</v>
      </c>
      <c r="H17" s="4"/>
      <c r="I17" s="11"/>
      <c r="J17" s="11"/>
      <c r="K17" s="11"/>
      <c r="L17" s="11"/>
      <c r="M17" s="11"/>
      <c r="N17" s="11"/>
      <c r="O17" s="11"/>
      <c r="P17" s="11"/>
      <c r="Q17" s="11"/>
      <c r="R17" s="11"/>
      <c r="S17" s="11"/>
      <c r="T17" s="11"/>
      <c r="U17" s="11"/>
      <c r="V17" s="11"/>
      <c r="W17" s="11"/>
      <c r="X17" s="11"/>
      <c r="Y17" s="11"/>
      <c r="Z17" s="11"/>
      <c r="AA17" s="11"/>
      <c r="AB17" s="11"/>
      <c r="AC17" s="11"/>
    </row>
    <row r="18" spans="1:29" ht="70">
      <c r="A18" s="4">
        <v>17</v>
      </c>
      <c r="B18" s="14" t="s">
        <v>192</v>
      </c>
      <c r="C18" s="14" t="s">
        <v>193</v>
      </c>
      <c r="D18" s="4"/>
      <c r="E18" s="4" t="s">
        <v>194</v>
      </c>
      <c r="F18" s="4" t="s">
        <v>195</v>
      </c>
      <c r="G18" s="4" t="s">
        <v>120</v>
      </c>
      <c r="H18" s="8"/>
      <c r="I18" s="11"/>
      <c r="J18" s="11"/>
      <c r="K18" s="11"/>
      <c r="L18" s="11"/>
      <c r="M18" s="11"/>
      <c r="N18" s="11"/>
      <c r="O18" s="11"/>
      <c r="P18" s="11"/>
      <c r="Q18" s="11"/>
      <c r="R18" s="11"/>
      <c r="S18" s="11"/>
      <c r="T18" s="11"/>
      <c r="U18" s="11"/>
      <c r="V18" s="11"/>
      <c r="W18" s="11"/>
      <c r="X18" s="11"/>
      <c r="Y18" s="11"/>
      <c r="Z18" s="11"/>
      <c r="AA18" s="11"/>
      <c r="AB18" s="11"/>
      <c r="AC18" s="11"/>
    </row>
    <row r="19" spans="1:29" ht="70">
      <c r="A19" s="4">
        <v>18</v>
      </c>
      <c r="B19" s="14" t="s">
        <v>196</v>
      </c>
      <c r="C19" s="14" t="s">
        <v>197</v>
      </c>
      <c r="D19" s="4"/>
      <c r="E19" s="4" t="s">
        <v>198</v>
      </c>
      <c r="F19" s="4" t="s">
        <v>199</v>
      </c>
      <c r="G19" s="4" t="s">
        <v>120</v>
      </c>
      <c r="H19" s="8"/>
      <c r="I19" s="11"/>
      <c r="J19" s="11"/>
      <c r="K19" s="11"/>
      <c r="L19" s="11"/>
      <c r="M19" s="11"/>
      <c r="N19" s="11"/>
      <c r="O19" s="11"/>
      <c r="P19" s="11"/>
      <c r="Q19" s="11"/>
      <c r="R19" s="11"/>
      <c r="S19" s="11"/>
      <c r="T19" s="11"/>
      <c r="U19" s="11"/>
      <c r="V19" s="11"/>
      <c r="W19" s="11"/>
      <c r="X19" s="11"/>
      <c r="Y19" s="11"/>
      <c r="Z19" s="11"/>
      <c r="AA19" s="11"/>
      <c r="AB19" s="11"/>
      <c r="AC19" s="11"/>
    </row>
    <row r="20" spans="1:29" ht="70">
      <c r="A20" s="4">
        <v>19</v>
      </c>
      <c r="B20" s="12" t="s">
        <v>200</v>
      </c>
      <c r="C20" s="12" t="s">
        <v>201</v>
      </c>
      <c r="D20" s="4"/>
      <c r="E20" s="4" t="s">
        <v>202</v>
      </c>
      <c r="F20" s="4" t="s">
        <v>203</v>
      </c>
      <c r="G20" s="4" t="s">
        <v>204</v>
      </c>
      <c r="H20" s="8" t="s">
        <v>186</v>
      </c>
      <c r="I20" s="11"/>
      <c r="J20" s="11"/>
      <c r="K20" s="11"/>
      <c r="L20" s="11"/>
      <c r="M20" s="11"/>
      <c r="N20" s="11"/>
      <c r="O20" s="11"/>
      <c r="P20" s="11"/>
      <c r="Q20" s="11"/>
      <c r="R20" s="11"/>
      <c r="S20" s="11"/>
      <c r="T20" s="11"/>
      <c r="U20" s="11"/>
      <c r="V20" s="11"/>
      <c r="W20" s="11"/>
      <c r="X20" s="11"/>
      <c r="Y20" s="11"/>
      <c r="Z20" s="11"/>
      <c r="AA20" s="11"/>
      <c r="AB20" s="11"/>
      <c r="AC20" s="11"/>
    </row>
    <row r="21" spans="1:29" ht="13">
      <c r="A21" s="18"/>
      <c r="B21" s="19"/>
      <c r="C21" s="19"/>
      <c r="D21" s="19"/>
      <c r="E21" s="19"/>
      <c r="F21" s="19"/>
      <c r="G21" s="19"/>
      <c r="H21" s="19"/>
      <c r="I21" s="20"/>
      <c r="J21" s="20"/>
      <c r="K21" s="20"/>
      <c r="L21" s="20"/>
      <c r="M21" s="20"/>
      <c r="N21" s="20"/>
      <c r="O21" s="20"/>
      <c r="P21" s="20"/>
      <c r="Q21" s="20"/>
      <c r="R21" s="20"/>
      <c r="S21" s="20"/>
      <c r="T21" s="20"/>
      <c r="U21" s="20"/>
      <c r="V21" s="20"/>
      <c r="W21" s="20"/>
      <c r="X21" s="20"/>
      <c r="Y21" s="20"/>
      <c r="Z21" s="20"/>
      <c r="AA21" s="20"/>
      <c r="AB21" s="20"/>
      <c r="AC21" s="20"/>
    </row>
    <row r="22" spans="1:29" ht="13">
      <c r="A22" s="4"/>
      <c r="B22" s="4"/>
      <c r="C22" s="4"/>
      <c r="D22" s="4"/>
      <c r="E22" s="4"/>
      <c r="F22" s="4"/>
      <c r="G22" s="4"/>
      <c r="H22" s="8"/>
      <c r="I22" s="11"/>
      <c r="J22" s="11"/>
      <c r="K22" s="11"/>
      <c r="L22" s="11"/>
      <c r="M22" s="11"/>
      <c r="N22" s="11"/>
      <c r="O22" s="11"/>
      <c r="P22" s="11"/>
      <c r="Q22" s="11"/>
      <c r="R22" s="11"/>
      <c r="S22" s="11"/>
      <c r="T22" s="11"/>
      <c r="U22" s="11"/>
      <c r="V22" s="11"/>
      <c r="W22" s="11"/>
      <c r="X22" s="11"/>
      <c r="Y22" s="11"/>
      <c r="Z22" s="11"/>
      <c r="AA22" s="11"/>
      <c r="AB22" s="11"/>
      <c r="AC22" s="11"/>
    </row>
    <row r="23" spans="1:29" ht="13">
      <c r="A23" s="4"/>
      <c r="B23" s="4"/>
      <c r="C23" s="4"/>
      <c r="D23" s="4"/>
      <c r="E23" s="4"/>
      <c r="F23" s="4"/>
      <c r="G23" s="4"/>
      <c r="H23" s="8"/>
      <c r="I23" s="11"/>
      <c r="J23" s="11"/>
      <c r="K23" s="11"/>
      <c r="L23" s="11"/>
      <c r="M23" s="11"/>
      <c r="N23" s="11"/>
      <c r="O23" s="11"/>
      <c r="P23" s="11"/>
      <c r="Q23" s="11"/>
      <c r="R23" s="11"/>
      <c r="S23" s="11"/>
      <c r="T23" s="11"/>
      <c r="U23" s="11"/>
      <c r="V23" s="11"/>
      <c r="W23" s="11"/>
      <c r="X23" s="11"/>
      <c r="Y23" s="11"/>
      <c r="Z23" s="11"/>
      <c r="AA23" s="11"/>
      <c r="AB23" s="11"/>
      <c r="AC23" s="11"/>
    </row>
    <row r="24" spans="1:29" ht="13">
      <c r="A24" s="4"/>
      <c r="B24" s="4"/>
      <c r="C24" s="4"/>
      <c r="D24" s="4"/>
      <c r="E24" s="4"/>
      <c r="F24" s="4"/>
      <c r="G24" s="4"/>
      <c r="H24" s="8"/>
      <c r="I24" s="11"/>
      <c r="J24" s="11"/>
      <c r="K24" s="11"/>
      <c r="L24" s="11"/>
      <c r="M24" s="11"/>
      <c r="N24" s="11"/>
      <c r="O24" s="11"/>
      <c r="P24" s="11"/>
      <c r="Q24" s="11"/>
      <c r="R24" s="11"/>
      <c r="S24" s="11"/>
      <c r="T24" s="11"/>
      <c r="U24" s="11"/>
      <c r="V24" s="11"/>
      <c r="W24" s="11"/>
      <c r="X24" s="11"/>
      <c r="Y24" s="11"/>
      <c r="Z24" s="11"/>
      <c r="AA24" s="11"/>
      <c r="AB24" s="11"/>
      <c r="AC24" s="11"/>
    </row>
    <row r="25" spans="1:29" ht="13">
      <c r="A25" s="4"/>
      <c r="B25" s="4"/>
      <c r="C25" s="4"/>
      <c r="D25" s="4"/>
      <c r="E25" s="4"/>
      <c r="F25" s="4"/>
      <c r="G25" s="4"/>
      <c r="H25" s="8"/>
      <c r="I25" s="11"/>
      <c r="J25" s="11"/>
      <c r="K25" s="11"/>
      <c r="L25" s="11"/>
      <c r="M25" s="11"/>
      <c r="N25" s="11"/>
      <c r="O25" s="11"/>
      <c r="P25" s="11"/>
      <c r="Q25" s="11"/>
      <c r="R25" s="11"/>
      <c r="S25" s="11"/>
      <c r="T25" s="11"/>
      <c r="U25" s="11"/>
      <c r="V25" s="11"/>
      <c r="W25" s="11"/>
      <c r="X25" s="11"/>
      <c r="Y25" s="11"/>
      <c r="Z25" s="11"/>
      <c r="AA25" s="11"/>
      <c r="AB25" s="11"/>
      <c r="AC25" s="11"/>
    </row>
    <row r="26" spans="1:29" ht="13">
      <c r="A26" s="4"/>
      <c r="B26" s="4"/>
      <c r="C26" s="4"/>
      <c r="D26" s="4"/>
      <c r="E26" s="4"/>
      <c r="F26" s="4"/>
      <c r="G26" s="4"/>
      <c r="H26" s="8"/>
      <c r="I26" s="11"/>
      <c r="J26" s="11"/>
      <c r="K26" s="11"/>
      <c r="L26" s="11"/>
      <c r="M26" s="11"/>
      <c r="N26" s="11"/>
      <c r="O26" s="11"/>
      <c r="P26" s="11"/>
      <c r="Q26" s="11"/>
      <c r="R26" s="11"/>
      <c r="S26" s="11"/>
      <c r="T26" s="11"/>
      <c r="U26" s="11"/>
      <c r="V26" s="11"/>
      <c r="W26" s="11"/>
      <c r="X26" s="11"/>
      <c r="Y26" s="11"/>
      <c r="Z26" s="11"/>
      <c r="AA26" s="11"/>
      <c r="AB26" s="11"/>
      <c r="AC26" s="11"/>
    </row>
    <row r="27" spans="1:29" ht="13">
      <c r="A27" s="4"/>
      <c r="B27" s="4"/>
      <c r="C27" s="4"/>
      <c r="D27" s="4"/>
      <c r="E27" s="4"/>
      <c r="F27" s="4"/>
      <c r="G27" s="4"/>
      <c r="H27" s="8"/>
      <c r="I27" s="11"/>
      <c r="J27" s="11"/>
      <c r="K27" s="11"/>
      <c r="L27" s="11"/>
      <c r="M27" s="11"/>
      <c r="N27" s="11"/>
      <c r="O27" s="11"/>
      <c r="P27" s="11"/>
      <c r="Q27" s="11"/>
      <c r="R27" s="11"/>
      <c r="S27" s="11"/>
      <c r="T27" s="11"/>
      <c r="U27" s="11"/>
      <c r="V27" s="11"/>
      <c r="W27" s="11"/>
      <c r="X27" s="11"/>
      <c r="Y27" s="11"/>
      <c r="Z27" s="11"/>
      <c r="AA27" s="11"/>
      <c r="AB27" s="11"/>
      <c r="AC27" s="11"/>
    </row>
    <row r="28" spans="1:29" ht="13">
      <c r="A28" s="4"/>
      <c r="B28" s="4"/>
      <c r="C28" s="4"/>
      <c r="D28" s="4"/>
      <c r="E28" s="4"/>
      <c r="F28" s="4"/>
      <c r="G28" s="4"/>
      <c r="H28" s="8"/>
      <c r="I28" s="11"/>
      <c r="J28" s="11"/>
      <c r="K28" s="11"/>
      <c r="L28" s="11"/>
      <c r="M28" s="11"/>
      <c r="N28" s="11"/>
      <c r="O28" s="11"/>
      <c r="P28" s="11"/>
      <c r="Q28" s="11"/>
      <c r="R28" s="11"/>
      <c r="S28" s="11"/>
      <c r="T28" s="11"/>
      <c r="U28" s="11"/>
      <c r="V28" s="11"/>
      <c r="W28" s="11"/>
      <c r="X28" s="11"/>
      <c r="Y28" s="11"/>
      <c r="Z28" s="11"/>
      <c r="AA28" s="11"/>
      <c r="AB28" s="11"/>
      <c r="AC28" s="11"/>
    </row>
    <row r="29" spans="1:29" ht="13">
      <c r="A29" s="4"/>
      <c r="B29" s="4"/>
      <c r="C29" s="4"/>
      <c r="D29" s="4"/>
      <c r="E29" s="4"/>
      <c r="F29" s="4"/>
      <c r="G29" s="4"/>
      <c r="H29" s="8"/>
      <c r="I29" s="11"/>
      <c r="J29" s="11"/>
      <c r="K29" s="11"/>
      <c r="L29" s="11"/>
      <c r="M29" s="11"/>
      <c r="N29" s="11"/>
      <c r="O29" s="11"/>
      <c r="P29" s="11"/>
      <c r="Q29" s="11"/>
      <c r="R29" s="11"/>
      <c r="S29" s="11"/>
      <c r="T29" s="11"/>
      <c r="U29" s="11"/>
      <c r="V29" s="11"/>
      <c r="W29" s="11"/>
      <c r="X29" s="11"/>
      <c r="Y29" s="11"/>
      <c r="Z29" s="11"/>
      <c r="AA29" s="11"/>
      <c r="AB29" s="11"/>
      <c r="AC29" s="11"/>
    </row>
    <row r="30" spans="1:29" ht="13">
      <c r="A30" s="4"/>
      <c r="B30" s="4"/>
      <c r="C30" s="4"/>
      <c r="D30" s="4"/>
      <c r="E30" s="4"/>
      <c r="F30" s="4"/>
      <c r="G30" s="4"/>
      <c r="H30" s="8"/>
      <c r="I30" s="11"/>
      <c r="J30" s="11"/>
      <c r="K30" s="11"/>
      <c r="L30" s="11"/>
      <c r="M30" s="11"/>
      <c r="N30" s="11"/>
      <c r="O30" s="11"/>
      <c r="P30" s="11"/>
      <c r="Q30" s="11"/>
      <c r="R30" s="11"/>
      <c r="S30" s="11"/>
      <c r="T30" s="11"/>
      <c r="U30" s="11"/>
      <c r="V30" s="11"/>
      <c r="W30" s="11"/>
      <c r="X30" s="11"/>
      <c r="Y30" s="11"/>
      <c r="Z30" s="11"/>
      <c r="AA30" s="11"/>
      <c r="AB30" s="11"/>
      <c r="AC30" s="11"/>
    </row>
    <row r="31" spans="1:29" ht="13">
      <c r="A31" s="4"/>
      <c r="B31" s="4"/>
      <c r="C31" s="4"/>
      <c r="D31" s="4"/>
      <c r="E31" s="4"/>
      <c r="F31" s="4"/>
      <c r="G31" s="4"/>
      <c r="H31" s="8"/>
      <c r="I31" s="11"/>
      <c r="J31" s="11"/>
      <c r="K31" s="11"/>
      <c r="L31" s="11"/>
      <c r="M31" s="11"/>
      <c r="N31" s="11"/>
      <c r="O31" s="11"/>
      <c r="P31" s="11"/>
      <c r="Q31" s="11"/>
      <c r="R31" s="11"/>
      <c r="S31" s="11"/>
      <c r="T31" s="11"/>
      <c r="U31" s="11"/>
      <c r="V31" s="11"/>
      <c r="W31" s="11"/>
      <c r="X31" s="11"/>
      <c r="Y31" s="11"/>
      <c r="Z31" s="11"/>
      <c r="AA31" s="11"/>
      <c r="AB31" s="11"/>
      <c r="AC31" s="11"/>
    </row>
    <row r="32" spans="1:29" ht="13">
      <c r="A32" s="4"/>
      <c r="B32" s="4"/>
      <c r="C32" s="4"/>
      <c r="D32" s="4"/>
      <c r="E32" s="4"/>
      <c r="F32" s="4"/>
      <c r="G32" s="4"/>
      <c r="H32" s="8"/>
      <c r="I32" s="11"/>
      <c r="J32" s="11"/>
      <c r="K32" s="11"/>
      <c r="L32" s="11"/>
      <c r="M32" s="11"/>
      <c r="N32" s="11"/>
      <c r="O32" s="11"/>
      <c r="P32" s="11"/>
      <c r="Q32" s="11"/>
      <c r="R32" s="11"/>
      <c r="S32" s="11"/>
      <c r="T32" s="11"/>
      <c r="U32" s="11"/>
      <c r="V32" s="11"/>
      <c r="W32" s="11"/>
      <c r="X32" s="11"/>
      <c r="Y32" s="11"/>
      <c r="Z32" s="11"/>
      <c r="AA32" s="11"/>
      <c r="AB32" s="11"/>
      <c r="AC32" s="11"/>
    </row>
    <row r="33" spans="1:29" ht="13">
      <c r="A33" s="4"/>
      <c r="B33" s="4"/>
      <c r="C33" s="4"/>
      <c r="D33" s="4"/>
      <c r="E33" s="4"/>
      <c r="F33" s="4"/>
      <c r="G33" s="4"/>
      <c r="H33" s="8"/>
      <c r="I33" s="11"/>
      <c r="J33" s="11"/>
      <c r="K33" s="11"/>
      <c r="L33" s="11"/>
      <c r="M33" s="11"/>
      <c r="N33" s="11"/>
      <c r="O33" s="11"/>
      <c r="P33" s="11"/>
      <c r="Q33" s="11"/>
      <c r="R33" s="11"/>
      <c r="S33" s="11"/>
      <c r="T33" s="11"/>
      <c r="U33" s="11"/>
      <c r="V33" s="11"/>
      <c r="W33" s="11"/>
      <c r="X33" s="11"/>
      <c r="Y33" s="11"/>
      <c r="Z33" s="11"/>
      <c r="AA33" s="11"/>
      <c r="AB33" s="11"/>
      <c r="AC33" s="11"/>
    </row>
    <row r="34" spans="1:29" ht="13">
      <c r="A34" s="4"/>
      <c r="B34" s="4"/>
      <c r="C34" s="4"/>
      <c r="D34" s="4"/>
      <c r="E34" s="4"/>
      <c r="F34" s="4"/>
      <c r="G34" s="4"/>
      <c r="H34" s="8"/>
      <c r="I34" s="11"/>
      <c r="J34" s="11"/>
      <c r="K34" s="11"/>
      <c r="L34" s="11"/>
      <c r="M34" s="11"/>
      <c r="N34" s="11"/>
      <c r="O34" s="11"/>
      <c r="P34" s="11"/>
      <c r="Q34" s="11"/>
      <c r="R34" s="11"/>
      <c r="S34" s="11"/>
      <c r="T34" s="11"/>
      <c r="U34" s="11"/>
      <c r="V34" s="11"/>
      <c r="W34" s="11"/>
      <c r="X34" s="11"/>
      <c r="Y34" s="11"/>
      <c r="Z34" s="11"/>
      <c r="AA34" s="11"/>
      <c r="AB34" s="11"/>
      <c r="AC34" s="11"/>
    </row>
    <row r="35" spans="1:29" ht="13">
      <c r="A35" s="4"/>
      <c r="B35" s="4"/>
      <c r="C35" s="4"/>
      <c r="D35" s="4"/>
      <c r="E35" s="4"/>
      <c r="F35" s="4"/>
      <c r="G35" s="4"/>
      <c r="H35" s="8"/>
      <c r="I35" s="11"/>
      <c r="J35" s="11"/>
      <c r="K35" s="11"/>
      <c r="L35" s="11"/>
      <c r="M35" s="11"/>
      <c r="N35" s="11"/>
      <c r="O35" s="11"/>
      <c r="P35" s="11"/>
      <c r="Q35" s="11"/>
      <c r="R35" s="11"/>
      <c r="S35" s="11"/>
      <c r="T35" s="11"/>
      <c r="U35" s="11"/>
      <c r="V35" s="11"/>
      <c r="W35" s="11"/>
      <c r="X35" s="11"/>
      <c r="Y35" s="11"/>
      <c r="Z35" s="11"/>
      <c r="AA35" s="11"/>
      <c r="AB35" s="11"/>
      <c r="AC35" s="11"/>
    </row>
    <row r="36" spans="1:29" ht="13">
      <c r="A36" s="4"/>
      <c r="B36" s="4"/>
      <c r="C36" s="4"/>
      <c r="D36" s="4"/>
      <c r="E36" s="4"/>
      <c r="F36" s="4"/>
      <c r="G36" s="4"/>
      <c r="H36" s="8"/>
      <c r="I36" s="11"/>
      <c r="J36" s="11"/>
      <c r="K36" s="11"/>
      <c r="L36" s="11"/>
      <c r="M36" s="11"/>
      <c r="N36" s="11"/>
      <c r="O36" s="11"/>
      <c r="P36" s="11"/>
      <c r="Q36" s="11"/>
      <c r="R36" s="11"/>
      <c r="S36" s="11"/>
      <c r="T36" s="11"/>
      <c r="U36" s="11"/>
      <c r="V36" s="11"/>
      <c r="W36" s="11"/>
      <c r="X36" s="11"/>
      <c r="Y36" s="11"/>
      <c r="Z36" s="11"/>
      <c r="AA36" s="11"/>
      <c r="AB36" s="11"/>
      <c r="AC36" s="11"/>
    </row>
    <row r="37" spans="1:29" ht="13">
      <c r="A37" s="4"/>
      <c r="B37" s="4"/>
      <c r="C37" s="4"/>
      <c r="D37" s="4"/>
      <c r="E37" s="4"/>
      <c r="F37" s="4"/>
      <c r="G37" s="4"/>
      <c r="H37" s="8"/>
      <c r="I37" s="11"/>
      <c r="J37" s="11"/>
      <c r="K37" s="11"/>
      <c r="L37" s="11"/>
      <c r="M37" s="11"/>
      <c r="N37" s="11"/>
      <c r="O37" s="11"/>
      <c r="P37" s="11"/>
      <c r="Q37" s="11"/>
      <c r="R37" s="11"/>
      <c r="S37" s="11"/>
      <c r="T37" s="11"/>
      <c r="U37" s="11"/>
      <c r="V37" s="11"/>
      <c r="W37" s="11"/>
      <c r="X37" s="11"/>
      <c r="Y37" s="11"/>
      <c r="Z37" s="11"/>
      <c r="AA37" s="11"/>
      <c r="AB37" s="11"/>
      <c r="AC37" s="11"/>
    </row>
    <row r="38" spans="1:29" ht="13">
      <c r="A38" s="4"/>
      <c r="B38" s="4"/>
      <c r="C38" s="4"/>
      <c r="D38" s="4"/>
      <c r="E38" s="4"/>
      <c r="F38" s="4"/>
      <c r="G38" s="4"/>
      <c r="H38" s="8"/>
      <c r="I38" s="11"/>
      <c r="J38" s="11"/>
      <c r="K38" s="11"/>
      <c r="L38" s="11"/>
      <c r="M38" s="11"/>
      <c r="N38" s="11"/>
      <c r="O38" s="11"/>
      <c r="P38" s="11"/>
      <c r="Q38" s="11"/>
      <c r="R38" s="11"/>
      <c r="S38" s="11"/>
      <c r="T38" s="11"/>
      <c r="U38" s="11"/>
      <c r="V38" s="11"/>
      <c r="W38" s="11"/>
      <c r="X38" s="11"/>
      <c r="Y38" s="11"/>
      <c r="Z38" s="11"/>
      <c r="AA38" s="11"/>
      <c r="AB38" s="11"/>
      <c r="AC38" s="11"/>
    </row>
    <row r="39" spans="1:29" ht="13">
      <c r="A39" s="4"/>
      <c r="B39" s="4"/>
      <c r="C39" s="4"/>
      <c r="D39" s="4"/>
      <c r="E39" s="4"/>
      <c r="F39" s="4"/>
      <c r="G39" s="4"/>
      <c r="H39" s="8"/>
      <c r="I39" s="11"/>
      <c r="J39" s="11"/>
      <c r="K39" s="11"/>
      <c r="L39" s="11"/>
      <c r="M39" s="11"/>
      <c r="N39" s="11"/>
      <c r="O39" s="11"/>
      <c r="P39" s="11"/>
      <c r="Q39" s="11"/>
      <c r="R39" s="11"/>
      <c r="S39" s="11"/>
      <c r="T39" s="11"/>
      <c r="U39" s="11"/>
      <c r="V39" s="11"/>
      <c r="W39" s="11"/>
      <c r="X39" s="11"/>
      <c r="Y39" s="11"/>
      <c r="Z39" s="11"/>
      <c r="AA39" s="11"/>
      <c r="AB39" s="11"/>
      <c r="AC39" s="11"/>
    </row>
    <row r="40" spans="1:29" ht="13">
      <c r="A40" s="4"/>
      <c r="B40" s="4"/>
      <c r="C40" s="4"/>
      <c r="D40" s="4"/>
      <c r="E40" s="4"/>
      <c r="F40" s="4"/>
      <c r="G40" s="4"/>
      <c r="H40" s="8"/>
      <c r="I40" s="11"/>
      <c r="J40" s="11"/>
      <c r="K40" s="11"/>
      <c r="L40" s="11"/>
      <c r="M40" s="11"/>
      <c r="N40" s="11"/>
      <c r="O40" s="11"/>
      <c r="P40" s="11"/>
      <c r="Q40" s="11"/>
      <c r="R40" s="11"/>
      <c r="S40" s="11"/>
      <c r="T40" s="11"/>
      <c r="U40" s="11"/>
      <c r="V40" s="11"/>
      <c r="W40" s="11"/>
      <c r="X40" s="11"/>
      <c r="Y40" s="11"/>
      <c r="Z40" s="11"/>
      <c r="AA40" s="11"/>
      <c r="AB40" s="11"/>
      <c r="AC40" s="11"/>
    </row>
    <row r="41" spans="1:29" ht="13">
      <c r="A41" s="4"/>
      <c r="B41" s="4"/>
      <c r="C41" s="4"/>
      <c r="D41" s="4"/>
      <c r="E41" s="4"/>
      <c r="F41" s="4"/>
      <c r="G41" s="4"/>
      <c r="H41" s="8"/>
      <c r="I41" s="11"/>
      <c r="J41" s="11"/>
      <c r="K41" s="11"/>
      <c r="L41" s="11"/>
      <c r="M41" s="11"/>
      <c r="N41" s="11"/>
      <c r="O41" s="11"/>
      <c r="P41" s="11"/>
      <c r="Q41" s="11"/>
      <c r="R41" s="11"/>
      <c r="S41" s="11"/>
      <c r="T41" s="11"/>
      <c r="U41" s="11"/>
      <c r="V41" s="11"/>
      <c r="W41" s="11"/>
      <c r="X41" s="11"/>
      <c r="Y41" s="11"/>
      <c r="Z41" s="11"/>
      <c r="AA41" s="11"/>
      <c r="AB41" s="11"/>
      <c r="AC41" s="11"/>
    </row>
    <row r="42" spans="1:29" ht="13">
      <c r="A42" s="4"/>
      <c r="B42" s="4"/>
      <c r="C42" s="4"/>
      <c r="D42" s="4"/>
      <c r="E42" s="4"/>
      <c r="F42" s="4"/>
      <c r="G42" s="4"/>
      <c r="H42" s="8"/>
      <c r="I42" s="11"/>
      <c r="J42" s="11"/>
      <c r="K42" s="11"/>
      <c r="L42" s="11"/>
      <c r="M42" s="11"/>
      <c r="N42" s="11"/>
      <c r="O42" s="11"/>
      <c r="P42" s="11"/>
      <c r="Q42" s="11"/>
      <c r="R42" s="11"/>
      <c r="S42" s="11"/>
      <c r="T42" s="11"/>
      <c r="U42" s="11"/>
      <c r="V42" s="11"/>
      <c r="W42" s="11"/>
      <c r="X42" s="11"/>
      <c r="Y42" s="11"/>
      <c r="Z42" s="11"/>
      <c r="AA42" s="11"/>
      <c r="AB42" s="11"/>
      <c r="AC42" s="11"/>
    </row>
    <row r="43" spans="1:29" ht="13">
      <c r="A43" s="4"/>
      <c r="B43" s="4"/>
      <c r="C43" s="4"/>
      <c r="D43" s="4"/>
      <c r="E43" s="4"/>
      <c r="F43" s="4"/>
      <c r="G43" s="4"/>
      <c r="H43" s="8"/>
      <c r="I43" s="11"/>
      <c r="J43" s="11"/>
      <c r="K43" s="11"/>
      <c r="L43" s="11"/>
      <c r="M43" s="11"/>
      <c r="N43" s="11"/>
      <c r="O43" s="11"/>
      <c r="P43" s="11"/>
      <c r="Q43" s="11"/>
      <c r="R43" s="11"/>
      <c r="S43" s="11"/>
      <c r="T43" s="11"/>
      <c r="U43" s="11"/>
      <c r="V43" s="11"/>
      <c r="W43" s="11"/>
      <c r="X43" s="11"/>
      <c r="Y43" s="11"/>
      <c r="Z43" s="11"/>
      <c r="AA43" s="11"/>
      <c r="AB43" s="11"/>
      <c r="AC43" s="11"/>
    </row>
    <row r="44" spans="1:29" ht="13">
      <c r="A44" s="4"/>
      <c r="B44" s="4"/>
      <c r="C44" s="4"/>
      <c r="D44" s="4"/>
      <c r="E44" s="4"/>
      <c r="F44" s="4"/>
      <c r="G44" s="4"/>
      <c r="H44" s="8"/>
      <c r="I44" s="11"/>
      <c r="J44" s="11"/>
      <c r="K44" s="11"/>
      <c r="L44" s="11"/>
      <c r="M44" s="11"/>
      <c r="N44" s="11"/>
      <c r="O44" s="11"/>
      <c r="P44" s="11"/>
      <c r="Q44" s="11"/>
      <c r="R44" s="11"/>
      <c r="S44" s="11"/>
      <c r="T44" s="11"/>
      <c r="U44" s="11"/>
      <c r="V44" s="11"/>
      <c r="W44" s="11"/>
      <c r="X44" s="11"/>
      <c r="Y44" s="11"/>
      <c r="Z44" s="11"/>
      <c r="AA44" s="11"/>
      <c r="AB44" s="11"/>
      <c r="AC44" s="11"/>
    </row>
    <row r="45" spans="1:29" ht="13">
      <c r="A45" s="4"/>
      <c r="B45" s="4"/>
      <c r="C45" s="4"/>
      <c r="D45" s="4"/>
      <c r="E45" s="4"/>
      <c r="F45" s="4"/>
      <c r="G45" s="4"/>
      <c r="H45" s="8"/>
      <c r="I45" s="11"/>
      <c r="J45" s="11"/>
      <c r="K45" s="11"/>
      <c r="L45" s="11"/>
      <c r="M45" s="11"/>
      <c r="N45" s="11"/>
      <c r="O45" s="11"/>
      <c r="P45" s="11"/>
      <c r="Q45" s="11"/>
      <c r="R45" s="11"/>
      <c r="S45" s="11"/>
      <c r="T45" s="11"/>
      <c r="U45" s="11"/>
      <c r="V45" s="11"/>
      <c r="W45" s="11"/>
      <c r="X45" s="11"/>
      <c r="Y45" s="11"/>
      <c r="Z45" s="11"/>
      <c r="AA45" s="11"/>
      <c r="AB45" s="11"/>
      <c r="AC45" s="11"/>
    </row>
    <row r="46" spans="1:29" ht="13">
      <c r="A46" s="4"/>
      <c r="B46" s="4"/>
      <c r="C46" s="4"/>
      <c r="D46" s="4"/>
      <c r="E46" s="4"/>
      <c r="F46" s="4"/>
      <c r="G46" s="4"/>
      <c r="H46" s="8"/>
      <c r="I46" s="11"/>
      <c r="J46" s="11"/>
      <c r="K46" s="11"/>
      <c r="L46" s="11"/>
      <c r="M46" s="11"/>
      <c r="N46" s="11"/>
      <c r="O46" s="11"/>
      <c r="P46" s="11"/>
      <c r="Q46" s="11"/>
      <c r="R46" s="11"/>
      <c r="S46" s="11"/>
      <c r="T46" s="11"/>
      <c r="U46" s="11"/>
      <c r="V46" s="11"/>
      <c r="W46" s="11"/>
      <c r="X46" s="11"/>
      <c r="Y46" s="11"/>
      <c r="Z46" s="11"/>
      <c r="AA46" s="11"/>
      <c r="AB46" s="11"/>
      <c r="AC46" s="11"/>
    </row>
    <row r="47" spans="1:29" ht="13">
      <c r="A47" s="4"/>
      <c r="B47" s="4"/>
      <c r="C47" s="4"/>
      <c r="D47" s="4"/>
      <c r="E47" s="4"/>
      <c r="F47" s="4"/>
      <c r="G47" s="4"/>
      <c r="H47" s="8"/>
      <c r="I47" s="11"/>
      <c r="J47" s="11"/>
      <c r="K47" s="11"/>
      <c r="L47" s="11"/>
      <c r="M47" s="11"/>
      <c r="N47" s="11"/>
      <c r="O47" s="11"/>
      <c r="P47" s="11"/>
      <c r="Q47" s="11"/>
      <c r="R47" s="11"/>
      <c r="S47" s="11"/>
      <c r="T47" s="11"/>
      <c r="U47" s="11"/>
      <c r="V47" s="11"/>
      <c r="W47" s="11"/>
      <c r="X47" s="11"/>
      <c r="Y47" s="11"/>
      <c r="Z47" s="11"/>
      <c r="AA47" s="11"/>
      <c r="AB47" s="11"/>
      <c r="AC47" s="11"/>
    </row>
    <row r="48" spans="1:29" ht="13">
      <c r="A48" s="4"/>
      <c r="B48" s="4"/>
      <c r="C48" s="4"/>
      <c r="D48" s="4"/>
      <c r="E48" s="4"/>
      <c r="F48" s="4"/>
      <c r="G48" s="4"/>
      <c r="H48" s="8"/>
      <c r="I48" s="11"/>
      <c r="J48" s="11"/>
      <c r="K48" s="11"/>
      <c r="L48" s="11"/>
      <c r="M48" s="11"/>
      <c r="N48" s="11"/>
      <c r="O48" s="11"/>
      <c r="P48" s="11"/>
      <c r="Q48" s="11"/>
      <c r="R48" s="11"/>
      <c r="S48" s="11"/>
      <c r="T48" s="11"/>
      <c r="U48" s="11"/>
      <c r="V48" s="11"/>
      <c r="W48" s="11"/>
      <c r="X48" s="11"/>
      <c r="Y48" s="11"/>
      <c r="Z48" s="11"/>
      <c r="AA48" s="11"/>
      <c r="AB48" s="11"/>
      <c r="AC48" s="11"/>
    </row>
    <row r="49" spans="1:29" ht="13">
      <c r="A49" s="4"/>
      <c r="B49" s="4"/>
      <c r="C49" s="4"/>
      <c r="D49" s="4"/>
      <c r="E49" s="4"/>
      <c r="F49" s="4"/>
      <c r="G49" s="4"/>
      <c r="H49" s="8"/>
      <c r="I49" s="11"/>
      <c r="J49" s="11"/>
      <c r="K49" s="11"/>
      <c r="L49" s="11"/>
      <c r="M49" s="11"/>
      <c r="N49" s="11"/>
      <c r="O49" s="11"/>
      <c r="P49" s="11"/>
      <c r="Q49" s="11"/>
      <c r="R49" s="11"/>
      <c r="S49" s="11"/>
      <c r="T49" s="11"/>
      <c r="U49" s="11"/>
      <c r="V49" s="11"/>
      <c r="W49" s="11"/>
      <c r="X49" s="11"/>
      <c r="Y49" s="11"/>
      <c r="Z49" s="11"/>
      <c r="AA49" s="11"/>
      <c r="AB49" s="11"/>
      <c r="AC49" s="11"/>
    </row>
    <row r="50" spans="1:29" ht="13">
      <c r="A50" s="4"/>
      <c r="B50" s="4"/>
      <c r="C50" s="4"/>
      <c r="D50" s="4"/>
      <c r="E50" s="4"/>
      <c r="F50" s="4"/>
      <c r="G50" s="4"/>
      <c r="H50" s="8"/>
      <c r="I50" s="11"/>
      <c r="J50" s="11"/>
      <c r="K50" s="11"/>
      <c r="L50" s="11"/>
      <c r="M50" s="11"/>
      <c r="N50" s="11"/>
      <c r="O50" s="11"/>
      <c r="P50" s="11"/>
      <c r="Q50" s="11"/>
      <c r="R50" s="11"/>
      <c r="S50" s="11"/>
      <c r="T50" s="11"/>
      <c r="U50" s="11"/>
      <c r="V50" s="11"/>
      <c r="W50" s="11"/>
      <c r="X50" s="11"/>
      <c r="Y50" s="11"/>
      <c r="Z50" s="11"/>
      <c r="AA50" s="11"/>
      <c r="AB50" s="11"/>
      <c r="AC50" s="11"/>
    </row>
    <row r="51" spans="1:29" ht="13">
      <c r="A51" s="4"/>
      <c r="B51" s="4"/>
      <c r="C51" s="4"/>
      <c r="D51" s="4"/>
      <c r="E51" s="4"/>
      <c r="F51" s="4"/>
      <c r="G51" s="4"/>
      <c r="H51" s="8"/>
      <c r="I51" s="11"/>
      <c r="J51" s="11"/>
      <c r="K51" s="11"/>
      <c r="L51" s="11"/>
      <c r="M51" s="11"/>
      <c r="N51" s="11"/>
      <c r="O51" s="11"/>
      <c r="P51" s="11"/>
      <c r="Q51" s="11"/>
      <c r="R51" s="11"/>
      <c r="S51" s="11"/>
      <c r="T51" s="11"/>
      <c r="U51" s="11"/>
      <c r="V51" s="11"/>
      <c r="W51" s="11"/>
      <c r="X51" s="11"/>
      <c r="Y51" s="11"/>
      <c r="Z51" s="11"/>
      <c r="AA51" s="11"/>
      <c r="AB51" s="11"/>
      <c r="AC51" s="11"/>
    </row>
    <row r="52" spans="1:29" ht="1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row>
    <row r="53" spans="1:29" ht="1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row r="54" spans="1:29" ht="1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row>
    <row r="55" spans="1:29" ht="1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row r="56" spans="1:29" ht="1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1:29" ht="1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row>
    <row r="58" spans="1:29" ht="1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row>
    <row r="59" spans="1:29" ht="1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row>
    <row r="60" spans="1:29" ht="1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row>
    <row r="61" spans="1:29" ht="1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row>
    <row r="62" spans="1:29" ht="1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1:29" ht="1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row>
    <row r="64" spans="1:29" ht="1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row>
    <row r="65" spans="1:29" ht="1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row>
    <row r="66" spans="1:29" ht="1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row>
    <row r="67" spans="1:29" ht="1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row>
    <row r="68" spans="1:29" ht="1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row>
    <row r="69" spans="1:29" ht="1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row>
    <row r="70" spans="1:29" ht="1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row>
    <row r="71" spans="1:29" ht="1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row>
    <row r="72" spans="1:29" ht="1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row>
    <row r="73" spans="1:29" ht="1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row>
    <row r="74" spans="1:29" ht="1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row>
    <row r="75" spans="1:29" ht="1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row>
    <row r="76" spans="1:29" ht="1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row>
    <row r="77" spans="1:29" ht="1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row>
    <row r="78" spans="1:29" ht="1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row>
    <row r="79" spans="1:29" ht="1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row>
    <row r="80" spans="1:29" ht="1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row>
    <row r="81" spans="1:29" ht="1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row>
    <row r="82" spans="1:29" ht="1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row>
    <row r="83" spans="1:29" ht="1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row>
    <row r="84" spans="1:29" ht="1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row>
    <row r="85" spans="1:29" ht="1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row>
    <row r="86" spans="1:29" ht="1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row>
    <row r="87" spans="1:29" ht="1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row>
    <row r="88" spans="1:29" ht="1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row>
    <row r="89" spans="1:29" ht="1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row>
    <row r="90" spans="1:29" ht="1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row>
    <row r="91" spans="1:29" ht="1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row>
    <row r="92" spans="1:29" ht="1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row>
    <row r="93" spans="1:29" ht="1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row>
    <row r="94" spans="1:29" ht="1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row>
    <row r="95" spans="1:29" ht="1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row>
    <row r="96" spans="1:29" ht="1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row>
    <row r="97" spans="1:29" ht="1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row>
    <row r="98" spans="1:29" ht="1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row>
    <row r="99" spans="1:29" ht="1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row>
    <row r="100" spans="1:29" ht="1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row>
    <row r="101" spans="1:29" ht="1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row>
    <row r="102" spans="1:29" ht="1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row>
    <row r="103" spans="1:29" ht="1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row>
    <row r="104" spans="1:29" ht="1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row>
    <row r="105" spans="1:29" ht="1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spans="1:29" ht="1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row>
    <row r="107" spans="1:29" ht="1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row>
    <row r="108" spans="1:29" ht="1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row>
    <row r="109" spans="1:29" ht="1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row>
    <row r="110" spans="1:29" ht="1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row>
    <row r="111" spans="1:29" ht="1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row>
    <row r="112" spans="1:29" ht="1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row>
    <row r="113" spans="1:29" ht="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spans="1:29" ht="1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row>
    <row r="115" spans="1:29" ht="1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row>
    <row r="116" spans="1:29" ht="1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row>
    <row r="117" spans="1:29" ht="1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row>
    <row r="118" spans="1:29" ht="1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row>
    <row r="119" spans="1:29" ht="1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row>
    <row r="120" spans="1:29" ht="1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row>
    <row r="121" spans="1:29" ht="1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row>
    <row r="122" spans="1:29" ht="1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row>
    <row r="123" spans="1:29" ht="1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row>
    <row r="124" spans="1:29" ht="1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row>
    <row r="125" spans="1:29" ht="1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row>
    <row r="126" spans="1:29" ht="1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spans="1:29" ht="1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row>
    <row r="128" spans="1:29" ht="1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spans="1:29" ht="1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row>
    <row r="130" spans="1:29" ht="1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row>
    <row r="131" spans="1:29" ht="1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row>
    <row r="132" spans="1:29" ht="1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row>
    <row r="133" spans="1:29" ht="1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row>
    <row r="134" spans="1:29" ht="1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row>
    <row r="135" spans="1:29" ht="1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row>
    <row r="136" spans="1:29" ht="1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row>
    <row r="137" spans="1:29" ht="1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row>
    <row r="138" spans="1:29" ht="1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row>
    <row r="139" spans="1:29" ht="1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row>
    <row r="140" spans="1:29" ht="1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row>
    <row r="141" spans="1:29" ht="1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row>
    <row r="142" spans="1:29" ht="1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spans="1:29" ht="1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row>
    <row r="144" spans="1:29" ht="1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row>
    <row r="145" spans="1:29" ht="1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spans="1:29" ht="1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spans="1:29" ht="1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row>
    <row r="148" spans="1:29" ht="1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row>
    <row r="149" spans="1:29" ht="1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spans="1:29" ht="1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row>
    <row r="151" spans="1:29" ht="1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spans="1:29" ht="1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row>
    <row r="153" spans="1:29" ht="1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spans="1:29" ht="1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spans="1:29" ht="1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spans="1:29" ht="1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spans="1:29" ht="1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row>
    <row r="158" spans="1:29" ht="1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spans="1:29" ht="1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spans="1:29" ht="1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row>
    <row r="161" spans="1:29" ht="1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row>
    <row r="162" spans="1:29" ht="1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spans="1:29" ht="1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row>
    <row r="164" spans="1:29" ht="1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spans="1:29" ht="1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row>
    <row r="166" spans="1:29" ht="1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spans="1:29" ht="1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row>
    <row r="168" spans="1:29" ht="1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spans="1:29" ht="1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row>
    <row r="170" spans="1:29" ht="1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spans="1:29" ht="1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row>
    <row r="172" spans="1:29" ht="1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row>
    <row r="173" spans="1:29" ht="1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spans="1:29" ht="1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row>
    <row r="175" spans="1:29" ht="1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row>
    <row r="176" spans="1:29" ht="1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ht="1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spans="1:29" ht="1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row>
    <row r="179" spans="1:29" ht="1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row>
    <row r="180" spans="1:29" ht="1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row>
    <row r="181" spans="1:29" ht="1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spans="1:29" ht="1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row r="183" spans="1:29" ht="1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row>
    <row r="184" spans="1:29" ht="1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row>
    <row r="185" spans="1:29" ht="1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spans="1:29" ht="1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row>
    <row r="187" spans="1:29" ht="1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row>
    <row r="188" spans="1:29" ht="1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spans="1:29" ht="1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spans="1:29" ht="1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row>
    <row r="191" spans="1:29" ht="1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spans="1:29" ht="1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row>
    <row r="193" spans="1:29" ht="1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spans="1:29" ht="1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row>
    <row r="195" spans="1:29" ht="1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row>
    <row r="196" spans="1:29" ht="1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row>
    <row r="197" spans="1:29" ht="1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spans="1:29" ht="1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spans="1:29" ht="1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spans="1:29" ht="1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row>
    <row r="201" spans="1:29" ht="1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row>
    <row r="202" spans="1:29" ht="1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row>
    <row r="203" spans="1:29" ht="1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spans="1:29" ht="1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row>
    <row r="205" spans="1:29" ht="1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spans="1:29" ht="1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row>
    <row r="207" spans="1:29" ht="1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spans="1:29" ht="1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spans="1:29" ht="1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row>
    <row r="210" spans="1:29" ht="1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row>
    <row r="211" spans="1:29" ht="1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spans="1:29" ht="1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row>
    <row r="213" spans="1:29" ht="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spans="1:29" ht="1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spans="1:29" ht="1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spans="1:29" ht="1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row>
    <row r="217" spans="1:29" ht="1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spans="1:29" ht="1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spans="1:29" ht="1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row>
    <row r="220" spans="1:29" ht="1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row>
    <row r="221" spans="1:29" ht="1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row>
    <row r="222" spans="1:29" ht="1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row>
    <row r="223" spans="1:29" ht="1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row>
    <row r="224" spans="1:29" ht="1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row>
    <row r="225" spans="1:29" ht="1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row>
    <row r="226" spans="1:29" ht="1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spans="1:29" ht="1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spans="1:29" ht="1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row>
    <row r="229" spans="1:29" ht="1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row>
    <row r="230" spans="1:29" ht="1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row>
    <row r="231" spans="1:29" ht="1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row>
    <row r="232" spans="1:29" ht="1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spans="1:29" ht="1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row>
    <row r="234" spans="1:29" ht="1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row>
    <row r="235" spans="1:29" ht="1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spans="1:29" ht="1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spans="1:29" ht="1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spans="1:29" ht="1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spans="1:29" ht="1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row>
    <row r="240" spans="1:29" ht="1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row>
    <row r="241" spans="1:29" ht="1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row>
    <row r="242" spans="1:29" ht="1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row>
    <row r="243" spans="1:29" ht="1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spans="1:29" ht="1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row>
    <row r="245" spans="1:29" ht="1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spans="1:29" ht="1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row>
    <row r="247" spans="1:29" ht="1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row>
    <row r="248" spans="1:29" ht="1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row>
    <row r="249" spans="1:29" ht="1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row>
    <row r="250" spans="1:29" ht="1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spans="1:29" ht="1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row>
    <row r="252" spans="1:29" ht="1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spans="1:29" ht="1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row>
    <row r="254" spans="1:29" ht="1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spans="1:29" ht="1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row>
    <row r="256" spans="1:29" ht="1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row>
    <row r="257" spans="1:29" ht="1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row>
    <row r="258" spans="1:29" ht="1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row>
    <row r="259" spans="1:29" ht="1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row>
    <row r="260" spans="1:29" ht="1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row>
    <row r="261" spans="1:29" ht="1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spans="1:29" ht="1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row>
    <row r="263" spans="1:29" ht="1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row>
    <row r="264" spans="1:29" ht="1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row>
    <row r="265" spans="1:29" ht="1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row>
    <row r="266" spans="1:29" ht="1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spans="1:29" ht="1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row>
    <row r="268" spans="1:29" ht="1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spans="1:29" ht="1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row>
    <row r="270" spans="1:29" ht="1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row>
    <row r="271" spans="1:29" ht="1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row>
    <row r="272" spans="1:29" ht="1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row>
    <row r="273" spans="1:29" ht="1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row>
    <row r="274" spans="1:29" ht="1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spans="1:29" ht="1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row>
    <row r="276" spans="1:29" ht="1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row>
    <row r="277" spans="1:29" ht="1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spans="1:29" ht="1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spans="1:29" ht="1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spans="1:29" ht="1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spans="1:29" ht="1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row>
    <row r="282" spans="1:29" ht="1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spans="1:29" ht="1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row>
    <row r="284" spans="1:29" ht="1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row>
    <row r="285" spans="1:29" ht="1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spans="1:29" ht="1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row>
    <row r="287" spans="1:29" ht="1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row>
    <row r="288" spans="1:29" ht="1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row>
    <row r="289" spans="1:29" ht="1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spans="1:29" ht="1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row>
    <row r="291" spans="1:29" ht="1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spans="1:29" ht="1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row>
    <row r="293" spans="1:29" ht="1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spans="1:29" ht="1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row>
    <row r="295" spans="1:29" ht="1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spans="1:29" ht="1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row>
    <row r="297" spans="1:29" ht="1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spans="1:29" ht="1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row>
    <row r="299" spans="1:29" ht="1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spans="1:29" ht="1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row>
    <row r="301" spans="1:29" ht="1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spans="1:29" ht="1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spans="1:29" ht="1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row>
    <row r="304" spans="1:29" ht="1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row>
    <row r="305" spans="1:29" ht="1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row>
    <row r="306" spans="1:29" ht="1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row>
    <row r="307" spans="1:29" ht="1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row>
    <row r="308" spans="1:29" ht="1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spans="1:29" ht="1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row>
    <row r="310" spans="1:29" ht="1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spans="1:29" ht="1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row>
    <row r="312" spans="1:29" ht="1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spans="1:29" ht="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row>
    <row r="314" spans="1:29" ht="1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spans="1:29" ht="1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row>
    <row r="316" spans="1:29" ht="1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row>
    <row r="317" spans="1:29" ht="1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row>
    <row r="318" spans="1:29" ht="1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row>
    <row r="319" spans="1:29" ht="1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spans="1:29" ht="1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row>
    <row r="321" spans="1:29" ht="1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spans="1:29" ht="1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row>
    <row r="323" spans="1:29" ht="1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row>
    <row r="324" spans="1:29" ht="1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row>
    <row r="325" spans="1:29" ht="1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spans="1:29" ht="1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row>
    <row r="327" spans="1:29" ht="1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spans="1:29" ht="1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row>
    <row r="329" spans="1:29" ht="1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spans="1:29" ht="1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row>
    <row r="331" spans="1:29" ht="1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spans="1:29" ht="1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row>
    <row r="333" spans="1:29" ht="1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spans="1:29" ht="1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row>
    <row r="335" spans="1:29" ht="1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row>
    <row r="336" spans="1:29" ht="1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spans="1:29" ht="1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row>
    <row r="338" spans="1:29" ht="1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row>
    <row r="339" spans="1:29" ht="1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row>
    <row r="340" spans="1:29" ht="1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row>
    <row r="341" spans="1:29" ht="1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row>
    <row r="342" spans="1:29" ht="1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row>
    <row r="343" spans="1:29" ht="1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row>
    <row r="344" spans="1:29" ht="1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row>
    <row r="345" spans="1:29" ht="1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row>
    <row r="346" spans="1:29" ht="1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row>
    <row r="347" spans="1:29" ht="1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spans="1:29" ht="1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row>
    <row r="349" spans="1:29" ht="1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row>
    <row r="350" spans="1:29" ht="1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row>
    <row r="351" spans="1:29" ht="1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row>
    <row r="352" spans="1:29" ht="1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row>
    <row r="353" spans="1:29" ht="1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row>
    <row r="354" spans="1:29" ht="1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spans="1:29" ht="1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spans="1:29" ht="1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spans="1:29" ht="1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spans="1:29" ht="1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spans="1:29" ht="1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spans="1:29" ht="1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spans="1:29" ht="1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spans="1:29" ht="1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spans="1:29" ht="1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spans="1:29" ht="1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spans="1:29" ht="1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spans="1:29" ht="1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spans="1:29" ht="1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spans="1:29" ht="1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spans="1:29" ht="1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spans="1:29" ht="1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spans="1:29" ht="1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spans="1:29" ht="1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spans="1:29" ht="1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spans="1:29" ht="1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spans="1:29" ht="1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spans="1:29" ht="1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spans="1:29" ht="1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spans="1:29" ht="1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spans="1:29" ht="1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spans="1:29" ht="1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spans="1:29" ht="1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spans="1:29" ht="1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spans="1:29" ht="1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spans="1:29" ht="1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spans="1:29" ht="1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spans="1:29" ht="1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spans="1:29" ht="1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spans="1:29" ht="1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spans="1:29" ht="1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spans="1:29" ht="1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spans="1:29" ht="1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spans="1:29" ht="1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spans="1:29" ht="1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spans="1:29" ht="1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spans="1:29" ht="1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spans="1:29" ht="1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spans="1:29" ht="1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spans="1:29" ht="1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spans="1:29" ht="1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spans="1:29" ht="1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spans="1:29" ht="1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spans="1:29" ht="1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spans="1:29" ht="1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spans="1:29" ht="1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spans="1:29" ht="1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spans="1:29" ht="1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spans="1:29" ht="1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spans="1:29" ht="1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spans="1:29" ht="1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spans="1:29" ht="1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spans="1:29" ht="1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spans="1:29" ht="1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spans="1:29" ht="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spans="1:29" ht="1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spans="1:29" ht="1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spans="1:29" ht="1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spans="1:29" ht="1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spans="1:29" ht="1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spans="1:29" ht="1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spans="1:29" ht="1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spans="1:29" ht="1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spans="1:29" ht="1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spans="1:29" ht="1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spans="1:29" ht="1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spans="1:29" ht="1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spans="1:29" ht="1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spans="1:29" ht="1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spans="1:29" ht="1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spans="1:29" ht="1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spans="1:29" ht="1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spans="1:29" ht="1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spans="1:29" ht="1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spans="1:29" ht="1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spans="1:29" ht="1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spans="1:29" ht="1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spans="1:29" ht="1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spans="1:29" ht="1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spans="1:29" ht="1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spans="1:29" ht="1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spans="1:29" ht="1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spans="1:29" ht="1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spans="1:29" ht="1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spans="1:29" ht="1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spans="1:29" ht="1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spans="1:29" ht="1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spans="1:29" ht="1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spans="1:29" ht="1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spans="1:29" ht="1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spans="1:29" ht="1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spans="1:29" ht="1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spans="1:29" ht="1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spans="1:29" ht="1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spans="1:29" ht="1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spans="1:29" ht="1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spans="1:29" ht="1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spans="1:29" ht="1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spans="1:29" ht="1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spans="1:29" ht="1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spans="1:29" ht="1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spans="1:29" ht="1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spans="1:29" ht="1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spans="1:29" ht="1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spans="1:29" ht="1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spans="1:29" ht="1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spans="1:29" ht="1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spans="1:29" ht="1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spans="1:29" ht="1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spans="1:29" ht="1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spans="1:29" ht="1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spans="1:29" ht="1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spans="1:29" ht="1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spans="1:29" ht="1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spans="1:29" ht="1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spans="1:29" ht="1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spans="1:29" ht="1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spans="1:29" ht="1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spans="1:29" ht="1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spans="1:29" ht="1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spans="1:29" ht="1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spans="1:29" ht="1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spans="1:29" ht="1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spans="1:29" ht="1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spans="1:29" ht="1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spans="1:29" ht="1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spans="1:29" ht="1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spans="1:29" ht="1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spans="1:29" ht="1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spans="1:29" ht="1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spans="1:29" ht="1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spans="1:29" ht="1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spans="1:29" ht="1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spans="1:29" ht="1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spans="1:29" ht="1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spans="1:29" ht="1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spans="1:29" ht="1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spans="1:29" ht="1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spans="1:29" ht="1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spans="1:29" ht="1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spans="1:29" ht="1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spans="1:29" ht="1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spans="1:29" ht="1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spans="1:29" ht="1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spans="1:29" ht="1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spans="1:29" ht="1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spans="1:29" ht="1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spans="1:29" ht="1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spans="1:29" ht="1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spans="1:29" ht="1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spans="1:29" ht="1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spans="1:29" ht="1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spans="1:29" ht="1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spans="1:29" ht="1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spans="1:29" ht="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spans="1:29" ht="1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spans="1:29" ht="1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spans="1:29" ht="1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spans="1:29" ht="1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spans="1:29" ht="1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spans="1:29" ht="1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spans="1:29" ht="1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spans="1:29" ht="1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spans="1:29" ht="1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spans="1:29" ht="1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spans="1:29" ht="1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spans="1:29" ht="1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spans="1:29" ht="1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spans="1:29" ht="1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spans="1:29" ht="1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spans="1:29" ht="1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spans="1:29" ht="1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spans="1:29" ht="1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spans="1:29" ht="1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spans="1:29" ht="1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spans="1:29" ht="1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spans="1:29" ht="1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spans="1:29" ht="1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spans="1:29" ht="1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spans="1:29" ht="1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spans="1:29" ht="1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spans="1:29" ht="1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spans="1:29" ht="1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spans="1:29" ht="1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spans="1:29" ht="1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spans="1:29" ht="1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spans="1:29" ht="1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spans="1:29" ht="1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spans="1:29" ht="1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spans="1:29" ht="1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spans="1:29" ht="1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spans="1:29" ht="1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spans="1:29" ht="1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spans="1:29" ht="1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spans="1:29" ht="1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spans="1:29" ht="1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spans="1:29" ht="1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spans="1:29" ht="1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spans="1:29" ht="1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spans="1:29" ht="1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spans="1:29" ht="1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spans="1:29" ht="1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spans="1:29" ht="1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spans="1:29" ht="1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spans="1:29" ht="1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spans="1:29" ht="1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spans="1:29" ht="1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spans="1:29" ht="1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spans="1:29" ht="1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spans="1:29" ht="1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spans="1:29" ht="1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spans="1:29" ht="1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spans="1:29" ht="1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spans="1:29" ht="1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spans="1:29" ht="1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spans="1:29" ht="1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spans="1:29" ht="1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spans="1:29" ht="1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spans="1:29" ht="1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spans="1:29" ht="1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spans="1:29" ht="1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spans="1:29" ht="1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spans="1:29" ht="1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spans="1:29" ht="1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spans="1:29" ht="1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spans="1:29" ht="1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spans="1:29" ht="1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spans="1:29" ht="1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spans="1:29" ht="1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spans="1:29" ht="1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spans="1:29" ht="1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spans="1:29" ht="1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spans="1:29" ht="1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spans="1:29" ht="1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spans="1:29" ht="1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spans="1:29" ht="1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spans="1:29" ht="1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spans="1:29" ht="1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spans="1:29" ht="1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spans="1:29" ht="1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spans="1:29" ht="1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spans="1:29" ht="1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spans="1:29" ht="1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spans="1:29" ht="1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spans="1:29" ht="1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spans="1:29" ht="1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spans="1:29" ht="1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spans="1:29" ht="1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spans="1:29" ht="1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spans="1:29" ht="1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spans="1:29" ht="1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spans="1:29" ht="1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spans="1:29" ht="1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spans="1:29" ht="1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spans="1:29" ht="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spans="1:29" ht="1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spans="1:29" ht="1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spans="1:29" ht="1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spans="1:29" ht="1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spans="1:29" ht="1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spans="1:29" ht="1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spans="1:29" ht="1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spans="1:29" ht="1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spans="1:29" ht="1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spans="1:29" ht="1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spans="1:29" ht="1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spans="1:29" ht="1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spans="1:29" ht="1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spans="1:29" ht="1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spans="1:29" ht="1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spans="1:29" ht="1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spans="1:29" ht="1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spans="1:29" ht="1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spans="1:29" ht="1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spans="1:29" ht="1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spans="1:29" ht="1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spans="1:29" ht="1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spans="1:29" ht="1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spans="1:29" ht="1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spans="1:29" ht="1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spans="1:29" ht="1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spans="1:29" ht="1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spans="1:29" ht="1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spans="1:29" ht="1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spans="1:29" ht="1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spans="1:29" ht="1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spans="1:29" ht="1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spans="1:29" ht="1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spans="1:29" ht="1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spans="1:29" ht="1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spans="1:29" ht="1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spans="1:29" ht="1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spans="1:29" ht="1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spans="1:29" ht="1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spans="1:29" ht="1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spans="1:29" ht="1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spans="1:29" ht="1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spans="1:29" ht="1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spans="1:29" ht="1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spans="1:29" ht="1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spans="1:29" ht="1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spans="1:29" ht="1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spans="1:29" ht="1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spans="1:29" ht="1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spans="1:29" ht="1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spans="1:29" ht="1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spans="1:29" ht="1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spans="1:29" ht="1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spans="1:29" ht="1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spans="1:29" ht="1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spans="1:29" ht="1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spans="1:29" ht="1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spans="1:29" ht="1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spans="1:29" ht="1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spans="1:29" ht="1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spans="1:29" ht="1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spans="1:29" ht="1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spans="1:29" ht="1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spans="1:29" ht="1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spans="1:29" ht="1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spans="1:29" ht="1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spans="1:29" ht="1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spans="1:29" ht="1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spans="1:29" ht="1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spans="1:29" ht="1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spans="1:29" ht="1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spans="1:29" ht="1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spans="1:29" ht="1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spans="1:29" ht="1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spans="1:29" ht="1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spans="1:29" ht="1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spans="1:29" ht="1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spans="1:29" ht="1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spans="1:29" ht="1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spans="1:29" ht="1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spans="1:29" ht="1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spans="1:29" ht="1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spans="1:29" ht="1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spans="1:29" ht="1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spans="1:29" ht="1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spans="1:29" ht="1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spans="1:29" ht="1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spans="1:29" ht="1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spans="1:29" ht="1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row r="703" spans="1:29" ht="1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row>
    <row r="704" spans="1:29" ht="1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row>
    <row r="705" spans="1:29" ht="1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row>
    <row r="706" spans="1:29" ht="1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row>
    <row r="707" spans="1:29" ht="1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row>
    <row r="708" spans="1:29" ht="1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row>
    <row r="709" spans="1:29" ht="1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row>
    <row r="710" spans="1:29" ht="1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row>
    <row r="711" spans="1:29" ht="1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row>
    <row r="712" spans="1:29" ht="1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row>
    <row r="713" spans="1:29" ht="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row>
    <row r="714" spans="1:29" ht="1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row>
    <row r="715" spans="1:29" ht="1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row>
    <row r="716" spans="1:29" ht="1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row>
    <row r="717" spans="1:29" ht="1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row>
    <row r="718" spans="1:29" ht="1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row>
    <row r="719" spans="1:29" ht="1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row>
    <row r="720" spans="1:29" ht="1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row>
    <row r="721" spans="1:29" ht="1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row>
    <row r="722" spans="1:29" ht="1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row>
    <row r="723" spans="1:29" ht="1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row>
    <row r="724" spans="1:29" ht="1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row>
    <row r="725" spans="1:29" ht="1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row>
    <row r="726" spans="1:29" ht="1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row>
    <row r="727" spans="1:29" ht="1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row>
    <row r="728" spans="1:29" ht="1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row>
    <row r="729" spans="1:29" ht="1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row>
    <row r="730" spans="1:29" ht="1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row>
    <row r="731" spans="1:29" ht="1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row>
    <row r="732" spans="1:29" ht="1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row>
    <row r="733" spans="1:29" ht="1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row>
    <row r="734" spans="1:29" ht="1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row>
    <row r="735" spans="1:29" ht="1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row>
    <row r="736" spans="1:29" ht="1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row>
    <row r="737" spans="1:29" ht="1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row>
    <row r="738" spans="1:29" ht="1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row>
    <row r="739" spans="1:29" ht="1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row>
    <row r="740" spans="1:29" ht="1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row>
    <row r="741" spans="1:29" ht="1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row>
    <row r="742" spans="1:29" ht="1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row>
    <row r="743" spans="1:29" ht="1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row>
    <row r="744" spans="1:29" ht="1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row>
    <row r="745" spans="1:29" ht="1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row>
    <row r="746" spans="1:29" ht="1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row>
    <row r="747" spans="1:29" ht="1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row>
    <row r="748" spans="1:29" ht="1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row>
    <row r="749" spans="1:29" ht="1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row>
    <row r="750" spans="1:29" ht="1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row>
    <row r="751" spans="1:29" ht="1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row>
    <row r="752" spans="1:29" ht="1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row>
    <row r="753" spans="1:29" ht="1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row>
    <row r="754" spans="1:29" ht="1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row>
    <row r="755" spans="1:29" ht="1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row>
    <row r="756" spans="1:29" ht="1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row>
    <row r="757" spans="1:29" ht="1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row>
    <row r="758" spans="1:29" ht="1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row>
    <row r="759" spans="1:29" ht="1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row>
    <row r="760" spans="1:29" ht="1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row>
    <row r="761" spans="1:29" ht="1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row>
    <row r="762" spans="1:29" ht="1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row>
    <row r="763" spans="1:29" ht="1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row>
    <row r="764" spans="1:29" ht="1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row>
    <row r="765" spans="1:29" ht="1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row>
    <row r="766" spans="1:29" ht="1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row>
    <row r="767" spans="1:29" ht="1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row>
    <row r="768" spans="1:29" ht="1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row>
    <row r="769" spans="1:29" ht="1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row>
    <row r="770" spans="1:29" ht="1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row>
    <row r="771" spans="1:29" ht="1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row>
    <row r="772" spans="1:29" ht="1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row>
    <row r="773" spans="1:29" ht="1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row>
    <row r="774" spans="1:29" ht="1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row>
    <row r="775" spans="1:29" ht="1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row>
    <row r="776" spans="1:29" ht="1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row>
    <row r="777" spans="1:29" ht="1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row>
    <row r="778" spans="1:29" ht="1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row>
    <row r="779" spans="1:29" ht="1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row>
    <row r="780" spans="1:29" ht="1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row>
    <row r="781" spans="1:29" ht="1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row>
    <row r="782" spans="1:29" ht="1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row>
    <row r="783" spans="1:29" ht="1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row>
    <row r="784" spans="1:29" ht="1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row>
    <row r="785" spans="1:29" ht="1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row>
    <row r="786" spans="1:29" ht="1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row>
    <row r="787" spans="1:29" ht="1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row>
    <row r="788" spans="1:29" ht="1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row>
    <row r="789" spans="1:29" ht="1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row>
    <row r="790" spans="1:29" ht="1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row>
    <row r="791" spans="1:29" ht="1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row>
    <row r="792" spans="1:29" ht="1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row>
    <row r="793" spans="1:29" ht="1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row>
    <row r="794" spans="1:29" ht="1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row>
    <row r="795" spans="1:29" ht="1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row>
    <row r="796" spans="1:29" ht="1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row>
    <row r="797" spans="1:29" ht="1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row>
    <row r="798" spans="1:29" ht="1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row>
    <row r="799" spans="1:29" ht="1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row>
    <row r="800" spans="1:29" ht="1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row>
    <row r="801" spans="1:29" ht="1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row>
    <row r="802" spans="1:29" ht="1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row>
    <row r="803" spans="1:29" ht="1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row>
    <row r="804" spans="1:29" ht="1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row>
    <row r="805" spans="1:29" ht="1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row>
    <row r="806" spans="1:29" ht="1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row>
    <row r="807" spans="1:29" ht="1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row>
    <row r="808" spans="1:29" ht="1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row>
    <row r="809" spans="1:29" ht="1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row>
    <row r="810" spans="1:29" ht="1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row>
    <row r="811" spans="1:29" ht="1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row>
    <row r="812" spans="1:29" ht="1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row>
    <row r="813" spans="1:29" ht="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row>
    <row r="814" spans="1:29" ht="1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row>
    <row r="815" spans="1:29" ht="1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row>
    <row r="816" spans="1:29" ht="1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row>
    <row r="817" spans="1:29" ht="1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row>
    <row r="818" spans="1:29" ht="1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row>
    <row r="819" spans="1:29" ht="1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row>
    <row r="820" spans="1:29" ht="1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row>
    <row r="821" spans="1:29" ht="1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row>
    <row r="822" spans="1:29" ht="1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row>
    <row r="823" spans="1:29" ht="1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row>
    <row r="824" spans="1:29" ht="1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row>
    <row r="825" spans="1:29" ht="1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row>
    <row r="826" spans="1:29" ht="1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row>
    <row r="827" spans="1:29" ht="1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row>
    <row r="828" spans="1:29" ht="1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row>
    <row r="829" spans="1:29" ht="1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row>
    <row r="830" spans="1:29" ht="1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row>
    <row r="831" spans="1:29" ht="1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row>
    <row r="832" spans="1:29" ht="1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row>
    <row r="833" spans="1:29" ht="1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row>
    <row r="834" spans="1:29" ht="1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row>
    <row r="835" spans="1:29" ht="1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row>
    <row r="836" spans="1:29" ht="1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row>
    <row r="837" spans="1:29" ht="1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row>
    <row r="838" spans="1:29" ht="1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row>
    <row r="839" spans="1:29" ht="1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row>
    <row r="840" spans="1:29" ht="1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row>
    <row r="841" spans="1:29" ht="1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row>
    <row r="842" spans="1:29" ht="1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row>
    <row r="843" spans="1:29" ht="1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row>
    <row r="844" spans="1:29" ht="1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row>
    <row r="845" spans="1:29" ht="1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row>
    <row r="846" spans="1:29" ht="1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row>
    <row r="847" spans="1:29" ht="1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row>
    <row r="848" spans="1:29" ht="1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row>
    <row r="849" spans="1:29" ht="1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row>
    <row r="850" spans="1:29" ht="1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row>
    <row r="851" spans="1:29" ht="1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row>
    <row r="852" spans="1:29" ht="1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row>
    <row r="853" spans="1:29" ht="1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row>
    <row r="854" spans="1:29" ht="1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row>
    <row r="855" spans="1:29" ht="1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row>
    <row r="856" spans="1:29" ht="1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row>
    <row r="857" spans="1:29" ht="1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row>
    <row r="858" spans="1:29" ht="1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row>
    <row r="859" spans="1:29" ht="1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row>
    <row r="860" spans="1:29" ht="1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row>
    <row r="861" spans="1:29" ht="1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row>
    <row r="862" spans="1:29" ht="1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row>
    <row r="863" spans="1:29" ht="1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row>
    <row r="864" spans="1:29" ht="1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row>
    <row r="865" spans="1:29" ht="1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row>
    <row r="866" spans="1:29" ht="1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row>
    <row r="867" spans="1:29" ht="1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row>
    <row r="868" spans="1:29" ht="1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row>
    <row r="869" spans="1:29" ht="1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row>
    <row r="870" spans="1:29" ht="1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row>
    <row r="871" spans="1:29" ht="1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row>
    <row r="872" spans="1:29" ht="1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row>
    <row r="873" spans="1:29" ht="1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row>
    <row r="874" spans="1:29" ht="1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row>
    <row r="875" spans="1:29" ht="1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row>
    <row r="876" spans="1:29" ht="1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row>
    <row r="877" spans="1:29" ht="1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row>
    <row r="878" spans="1:29" ht="1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row>
    <row r="879" spans="1:29" ht="1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row>
    <row r="880" spans="1:29" ht="1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row>
    <row r="881" spans="1:29" ht="1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row>
    <row r="882" spans="1:29" ht="1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row>
    <row r="883" spans="1:29" ht="1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row>
    <row r="884" spans="1:29" ht="1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row>
    <row r="885" spans="1:29" ht="1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row>
    <row r="886" spans="1:29" ht="1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row>
    <row r="887" spans="1:29" ht="1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row>
    <row r="888" spans="1:29" ht="1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row>
    <row r="889" spans="1:29" ht="1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row>
    <row r="890" spans="1:29" ht="1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row>
    <row r="891" spans="1:29" ht="1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row>
    <row r="892" spans="1:29" ht="1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row>
    <row r="893" spans="1:29" ht="1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row>
    <row r="894" spans="1:29" ht="1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row>
    <row r="895" spans="1:29" ht="1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row>
    <row r="896" spans="1:29" ht="1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row>
    <row r="897" spans="1:29" ht="1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row>
    <row r="898" spans="1:29" ht="1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row>
    <row r="899" spans="1:29" ht="1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row>
    <row r="900" spans="1:29" ht="1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row>
    <row r="901" spans="1:29" ht="1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row>
    <row r="902" spans="1:29" ht="1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row>
    <row r="903" spans="1:29" ht="1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row>
    <row r="904" spans="1:29" ht="1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row>
    <row r="905" spans="1:29" ht="1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row>
    <row r="906" spans="1:29" ht="1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row>
    <row r="907" spans="1:29" ht="1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row>
    <row r="908" spans="1:29" ht="1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row>
    <row r="909" spans="1:29" ht="1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row>
    <row r="910" spans="1:29" ht="1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row>
    <row r="911" spans="1:29" ht="1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row>
    <row r="912" spans="1:29" ht="1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row>
    <row r="913" spans="1:29" ht="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row>
    <row r="914" spans="1:29" ht="1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row>
    <row r="915" spans="1:29" ht="1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row>
    <row r="916" spans="1:29" ht="1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row>
    <row r="917" spans="1:29" ht="1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row>
    <row r="918" spans="1:29" ht="1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row>
    <row r="919" spans="1:29" ht="1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row>
    <row r="920" spans="1:29" ht="1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row>
    <row r="921" spans="1:29" ht="1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row>
    <row r="922" spans="1:29" ht="1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row>
    <row r="923" spans="1:29" ht="1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row>
    <row r="924" spans="1:29" ht="1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row>
    <row r="925" spans="1:29" ht="1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row>
    <row r="926" spans="1:29" ht="1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row>
    <row r="927" spans="1:29" ht="1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row>
    <row r="928" spans="1:29" ht="1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row>
    <row r="929" spans="1:29" ht="1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row>
    <row r="930" spans="1:29" ht="1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row>
    <row r="931" spans="1:29" ht="1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row>
    <row r="932" spans="1:29" ht="1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row>
    <row r="933" spans="1:29" ht="1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row>
    <row r="934" spans="1:29" ht="1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row>
    <row r="935" spans="1:29" ht="1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row>
    <row r="936" spans="1:29" ht="1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row>
    <row r="937" spans="1:29" ht="1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row>
    <row r="938" spans="1:29" ht="1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row>
    <row r="939" spans="1:29" ht="1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row>
    <row r="940" spans="1:29" ht="1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row>
    <row r="941" spans="1:29" ht="1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row>
    <row r="942" spans="1:29" ht="1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row>
    <row r="943" spans="1:29" ht="1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row>
    <row r="944" spans="1:29" ht="1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row>
    <row r="945" spans="1:29" ht="1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row>
    <row r="946" spans="1:29" ht="1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row>
    <row r="947" spans="1:29" ht="1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row>
    <row r="948" spans="1:29" ht="1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row>
    <row r="949" spans="1:29" ht="1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row>
    <row r="950" spans="1:29" ht="1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row>
    <row r="951" spans="1:29" ht="1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row>
    <row r="952" spans="1:29" ht="1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row>
    <row r="953" spans="1:29" ht="1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row>
    <row r="954" spans="1:29" ht="1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row>
    <row r="955" spans="1:29" ht="1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row>
    <row r="956" spans="1:29" ht="1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row>
    <row r="957" spans="1:29" ht="1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row>
    <row r="958" spans="1:29" ht="1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row>
    <row r="959" spans="1:29" ht="1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row>
    <row r="960" spans="1:29" ht="1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row>
    <row r="961" spans="1:29" ht="1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row>
    <row r="962" spans="1:29" ht="1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row>
    <row r="963" spans="1:29" ht="1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row>
    <row r="964" spans="1:29" ht="1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row>
    <row r="965" spans="1:29" ht="1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row>
    <row r="966" spans="1:29" ht="1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row>
    <row r="967" spans="1:29" ht="1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row>
    <row r="968" spans="1:29" ht="1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row>
    <row r="969" spans="1:29" ht="1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row>
    <row r="970" spans="1:29" ht="1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row>
    <row r="971" spans="1:29" ht="1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row>
    <row r="972" spans="1:29" ht="1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row>
    <row r="973" spans="1:29" ht="1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row>
    <row r="974" spans="1:29" ht="1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row>
    <row r="975" spans="1:29" ht="1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row>
    <row r="976" spans="1:29" ht="1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row>
    <row r="977" spans="1:29" ht="1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row>
    <row r="978" spans="1:29" ht="1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row>
    <row r="979" spans="1:29" ht="1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row>
    <row r="980" spans="1:29" ht="1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row>
    <row r="981" spans="1:29" ht="1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row>
    <row r="982" spans="1:29" ht="1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row>
    <row r="983" spans="1:29" ht="1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row>
    <row r="984" spans="1:29" ht="1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row>
    <row r="985" spans="1:29" ht="1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row>
    <row r="986" spans="1:29" ht="1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row>
    <row r="987" spans="1:29" ht="1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row>
    <row r="988" spans="1:29" ht="1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row>
    <row r="989" spans="1:29" ht="1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row>
    <row r="990" spans="1:29" ht="1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row>
    <row r="991" spans="1:29" ht="1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row>
    <row r="992" spans="1:29" ht="1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row>
    <row r="993" spans="1:29" ht="1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row>
    <row r="994" spans="1:29" ht="1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D9D9"/>
    <outlinePr summaryBelow="0" summaryRight="0"/>
    <pageSetUpPr fitToPage="1"/>
  </sheetPr>
  <dimension ref="A1:AI85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4.5" defaultRowHeight="15.75" customHeight="1"/>
  <cols>
    <col min="1" max="1" width="10.5" customWidth="1"/>
    <col min="2" max="2" width="53.33203125" customWidth="1"/>
    <col min="3" max="3" width="91.5" customWidth="1"/>
    <col min="4" max="4" width="7" customWidth="1"/>
    <col min="5" max="5" width="6.6640625" customWidth="1"/>
    <col min="6" max="6" width="10.6640625" customWidth="1"/>
    <col min="7" max="7" width="6.33203125" customWidth="1"/>
    <col min="8" max="8" width="14.33203125" customWidth="1"/>
    <col min="9" max="9" width="18.6640625" customWidth="1"/>
    <col min="10" max="10" width="26.5" customWidth="1"/>
    <col min="11" max="11" width="35" customWidth="1"/>
    <col min="12" max="12" width="8.5" customWidth="1"/>
    <col min="13" max="13" width="10.33203125" customWidth="1"/>
    <col min="14" max="14" width="10.6640625" customWidth="1"/>
    <col min="15" max="15" width="37.83203125" customWidth="1"/>
    <col min="16" max="16" width="17" customWidth="1"/>
    <col min="17" max="17" width="17.83203125" customWidth="1"/>
    <col min="18" max="20" width="26.5" customWidth="1"/>
    <col min="21" max="21" width="24.6640625" customWidth="1"/>
    <col min="34" max="35" width="26.1640625" customWidth="1"/>
  </cols>
  <sheetData>
    <row r="1" spans="1:35" ht="13">
      <c r="A1" s="323"/>
      <c r="B1" s="323" t="s">
        <v>268</v>
      </c>
      <c r="C1" s="323" t="s">
        <v>6</v>
      </c>
      <c r="D1" s="323" t="s">
        <v>271</v>
      </c>
      <c r="E1" s="323" t="s">
        <v>272</v>
      </c>
      <c r="F1" s="325" t="s">
        <v>273</v>
      </c>
      <c r="G1" s="323" t="s">
        <v>17</v>
      </c>
      <c r="H1" s="323" t="s">
        <v>44</v>
      </c>
      <c r="I1" s="325" t="s">
        <v>274</v>
      </c>
      <c r="J1" s="323" t="s">
        <v>15</v>
      </c>
      <c r="K1" s="323" t="s">
        <v>28</v>
      </c>
      <c r="L1" s="323" t="s">
        <v>275</v>
      </c>
      <c r="M1" s="323" t="s">
        <v>32</v>
      </c>
      <c r="N1" s="323" t="s">
        <v>33</v>
      </c>
      <c r="O1" s="323" t="s">
        <v>276</v>
      </c>
      <c r="P1" s="323" t="s">
        <v>10</v>
      </c>
      <c r="Q1" s="323" t="s">
        <v>11</v>
      </c>
      <c r="R1" s="323" t="s">
        <v>277</v>
      </c>
      <c r="S1" s="323" t="s">
        <v>278</v>
      </c>
      <c r="T1" s="323" t="s">
        <v>279</v>
      </c>
      <c r="U1" s="323" t="s">
        <v>280</v>
      </c>
      <c r="V1" s="326" t="s">
        <v>281</v>
      </c>
      <c r="W1" s="327"/>
      <c r="X1" s="327"/>
      <c r="Y1" s="327"/>
      <c r="Z1" s="327"/>
      <c r="AA1" s="328"/>
      <c r="AB1" s="329" t="s">
        <v>282</v>
      </c>
      <c r="AC1" s="330"/>
      <c r="AD1" s="330"/>
      <c r="AE1" s="330"/>
      <c r="AF1" s="330"/>
      <c r="AG1" s="331"/>
      <c r="AH1" s="332" t="s">
        <v>19</v>
      </c>
      <c r="AI1" s="332" t="s">
        <v>283</v>
      </c>
    </row>
    <row r="2" spans="1:35" ht="13">
      <c r="A2" s="324"/>
      <c r="B2" s="324"/>
      <c r="C2" s="324"/>
      <c r="D2" s="324"/>
      <c r="E2" s="324"/>
      <c r="F2" s="324"/>
      <c r="G2" s="324"/>
      <c r="H2" s="324"/>
      <c r="I2" s="324"/>
      <c r="J2" s="324"/>
      <c r="K2" s="324"/>
      <c r="L2" s="324"/>
      <c r="M2" s="324"/>
      <c r="N2" s="324"/>
      <c r="O2" s="324"/>
      <c r="P2" s="324"/>
      <c r="Q2" s="324"/>
      <c r="R2" s="324"/>
      <c r="S2" s="324"/>
      <c r="T2" s="324"/>
      <c r="U2" s="324"/>
      <c r="V2" s="4">
        <v>2019</v>
      </c>
      <c r="W2" s="4">
        <v>2020</v>
      </c>
      <c r="X2" s="4">
        <v>2021</v>
      </c>
      <c r="Y2" s="4">
        <v>2022</v>
      </c>
      <c r="Z2" s="4">
        <v>2023</v>
      </c>
      <c r="AA2" s="21">
        <v>2024</v>
      </c>
      <c r="AB2" s="22">
        <v>2019</v>
      </c>
      <c r="AC2" s="4">
        <v>2020</v>
      </c>
      <c r="AD2" s="4">
        <v>2021</v>
      </c>
      <c r="AE2" s="4">
        <v>2022</v>
      </c>
      <c r="AF2" s="4">
        <v>2023</v>
      </c>
      <c r="AG2" s="23">
        <v>2024</v>
      </c>
      <c r="AH2" s="333"/>
      <c r="AI2" s="333"/>
    </row>
    <row r="3" spans="1:35" ht="12.75" customHeight="1">
      <c r="A3" s="24">
        <v>1</v>
      </c>
      <c r="B3" s="24">
        <v>2</v>
      </c>
      <c r="C3" s="24">
        <v>3</v>
      </c>
      <c r="D3" s="24">
        <v>4</v>
      </c>
      <c r="E3" s="24">
        <v>5</v>
      </c>
      <c r="F3" s="24">
        <v>6</v>
      </c>
      <c r="G3" s="24">
        <v>7</v>
      </c>
      <c r="H3" s="24">
        <v>8</v>
      </c>
      <c r="I3" s="24">
        <v>9</v>
      </c>
      <c r="J3" s="24">
        <v>10</v>
      </c>
      <c r="K3" s="24">
        <v>11</v>
      </c>
      <c r="L3" s="24">
        <v>12</v>
      </c>
      <c r="M3" s="24">
        <v>13</v>
      </c>
      <c r="N3" s="24">
        <v>14</v>
      </c>
      <c r="O3" s="24">
        <v>15</v>
      </c>
      <c r="P3" s="24">
        <v>16</v>
      </c>
      <c r="Q3" s="24">
        <v>17</v>
      </c>
      <c r="R3" s="24">
        <v>18</v>
      </c>
      <c r="S3" s="24">
        <v>19</v>
      </c>
      <c r="T3" s="24">
        <v>20</v>
      </c>
      <c r="U3" s="24">
        <v>21</v>
      </c>
      <c r="V3" s="24">
        <v>22</v>
      </c>
      <c r="W3" s="24">
        <v>23</v>
      </c>
      <c r="X3" s="24">
        <v>24</v>
      </c>
      <c r="Y3" s="24">
        <v>25</v>
      </c>
      <c r="Z3" s="24">
        <v>26</v>
      </c>
      <c r="AA3" s="24">
        <v>27</v>
      </c>
      <c r="AB3" s="24">
        <v>28</v>
      </c>
      <c r="AC3" s="24">
        <v>29</v>
      </c>
      <c r="AD3" s="24">
        <v>30</v>
      </c>
      <c r="AE3" s="24">
        <v>31</v>
      </c>
      <c r="AF3" s="24">
        <v>32</v>
      </c>
      <c r="AG3" s="24">
        <v>33</v>
      </c>
      <c r="AH3" s="24">
        <v>34</v>
      </c>
      <c r="AI3" s="24">
        <v>35</v>
      </c>
    </row>
    <row r="4" spans="1:35" ht="114" customHeight="1">
      <c r="A4" s="25">
        <v>1</v>
      </c>
      <c r="B4" s="25" t="s">
        <v>286</v>
      </c>
      <c r="C4" s="25" t="s">
        <v>287</v>
      </c>
      <c r="D4" s="25" t="s">
        <v>288</v>
      </c>
      <c r="E4" s="25" t="s">
        <v>289</v>
      </c>
      <c r="F4" s="26" t="s">
        <v>290</v>
      </c>
      <c r="G4" s="27"/>
      <c r="H4" s="25"/>
      <c r="I4" s="28"/>
      <c r="J4" s="25" t="s">
        <v>55</v>
      </c>
      <c r="K4" s="25" t="s">
        <v>293</v>
      </c>
      <c r="L4" s="25">
        <v>1</v>
      </c>
      <c r="M4" s="25"/>
      <c r="N4" s="25"/>
      <c r="O4" s="25"/>
      <c r="P4" s="29">
        <v>43388</v>
      </c>
      <c r="Q4" s="29">
        <v>43525</v>
      </c>
      <c r="R4" s="30"/>
      <c r="S4" s="30"/>
      <c r="T4" s="30"/>
      <c r="U4" s="25" t="s">
        <v>90</v>
      </c>
      <c r="V4" s="8"/>
      <c r="W4" s="8"/>
      <c r="X4" s="8"/>
      <c r="Y4" s="8"/>
      <c r="Z4" s="8"/>
      <c r="AA4" s="31"/>
      <c r="AB4" s="32"/>
      <c r="AC4" s="8"/>
      <c r="AD4" s="8"/>
      <c r="AE4" s="8"/>
      <c r="AF4" s="8"/>
      <c r="AG4" s="33"/>
      <c r="AH4" s="34"/>
      <c r="AI4" s="35"/>
    </row>
    <row r="5" spans="1:35" ht="14">
      <c r="A5" s="36">
        <v>108</v>
      </c>
      <c r="B5" s="37" t="s">
        <v>294</v>
      </c>
      <c r="C5" s="38"/>
      <c r="D5" s="38"/>
      <c r="E5" s="38"/>
      <c r="F5" s="39"/>
      <c r="G5" s="40"/>
      <c r="H5" s="38"/>
      <c r="I5" s="38"/>
      <c r="J5" s="38"/>
      <c r="K5" s="38"/>
      <c r="L5" s="36">
        <v>1</v>
      </c>
      <c r="M5" s="38"/>
      <c r="N5" s="38"/>
      <c r="O5" s="38"/>
      <c r="P5" s="41"/>
      <c r="Q5" s="41"/>
      <c r="R5" s="42"/>
      <c r="S5" s="42"/>
      <c r="T5" s="42"/>
      <c r="U5" s="38"/>
      <c r="V5" s="8"/>
      <c r="W5" s="8"/>
      <c r="X5" s="8"/>
      <c r="Y5" s="8"/>
      <c r="Z5" s="8"/>
      <c r="AA5" s="31"/>
      <c r="AB5" s="32"/>
      <c r="AC5" s="8"/>
      <c r="AD5" s="8"/>
      <c r="AE5" s="8"/>
      <c r="AF5" s="8"/>
      <c r="AG5" s="33"/>
      <c r="AH5" s="34"/>
      <c r="AI5" s="35"/>
    </row>
    <row r="6" spans="1:35" ht="217">
      <c r="A6" s="4">
        <v>1</v>
      </c>
      <c r="B6" s="4" t="s">
        <v>297</v>
      </c>
      <c r="C6" s="4" t="s">
        <v>298</v>
      </c>
      <c r="D6" s="4" t="s">
        <v>288</v>
      </c>
      <c r="E6" s="4" t="s">
        <v>299</v>
      </c>
      <c r="F6" s="43" t="s">
        <v>290</v>
      </c>
      <c r="G6" s="27">
        <v>15</v>
      </c>
      <c r="H6" s="4">
        <v>2</v>
      </c>
      <c r="I6" s="4" t="s">
        <v>300</v>
      </c>
      <c r="J6" s="4" t="s">
        <v>55</v>
      </c>
      <c r="K6" s="4" t="s">
        <v>301</v>
      </c>
      <c r="L6" s="4">
        <v>1</v>
      </c>
      <c r="M6" s="4">
        <v>1</v>
      </c>
      <c r="N6" s="4">
        <v>0</v>
      </c>
      <c r="O6" s="44" t="s">
        <v>304</v>
      </c>
      <c r="P6" s="45">
        <v>43388</v>
      </c>
      <c r="Q6" s="45">
        <v>43565</v>
      </c>
      <c r="R6" s="46">
        <v>0</v>
      </c>
      <c r="S6" s="4">
        <v>0</v>
      </c>
      <c r="T6" s="46">
        <v>0</v>
      </c>
      <c r="U6" s="4" t="s">
        <v>90</v>
      </c>
      <c r="V6" s="4">
        <v>0</v>
      </c>
      <c r="W6" s="4">
        <v>0</v>
      </c>
      <c r="X6" s="4">
        <v>0</v>
      </c>
      <c r="Y6" s="4">
        <v>0</v>
      </c>
      <c r="Z6" s="8"/>
      <c r="AA6" s="31"/>
      <c r="AB6" s="22">
        <v>0</v>
      </c>
      <c r="AC6" s="4">
        <v>0</v>
      </c>
      <c r="AD6" s="4">
        <v>0</v>
      </c>
      <c r="AE6" s="4">
        <v>0</v>
      </c>
      <c r="AF6" s="8"/>
      <c r="AG6" s="33"/>
      <c r="AH6" s="47" t="s">
        <v>306</v>
      </c>
      <c r="AI6" s="48" t="s">
        <v>306</v>
      </c>
    </row>
    <row r="7" spans="1:35" ht="98">
      <c r="A7" s="4">
        <v>2</v>
      </c>
      <c r="B7" s="4" t="s">
        <v>307</v>
      </c>
      <c r="C7" s="4" t="s">
        <v>308</v>
      </c>
      <c r="D7" s="4" t="s">
        <v>288</v>
      </c>
      <c r="E7" s="4" t="s">
        <v>299</v>
      </c>
      <c r="F7" s="43" t="s">
        <v>309</v>
      </c>
      <c r="G7" s="27">
        <v>15</v>
      </c>
      <c r="H7" s="4">
        <v>2</v>
      </c>
      <c r="I7" s="4" t="s">
        <v>310</v>
      </c>
      <c r="J7" s="4" t="s">
        <v>5</v>
      </c>
      <c r="K7" s="4" t="s">
        <v>311</v>
      </c>
      <c r="L7" s="4">
        <v>0</v>
      </c>
      <c r="M7" s="4">
        <v>0</v>
      </c>
      <c r="N7" s="4">
        <v>0</v>
      </c>
      <c r="O7" s="4" t="s">
        <v>313</v>
      </c>
      <c r="P7" s="45">
        <v>43388</v>
      </c>
      <c r="Q7" s="45">
        <v>41993</v>
      </c>
      <c r="R7" s="46">
        <v>0</v>
      </c>
      <c r="S7" s="4">
        <v>0</v>
      </c>
      <c r="T7" s="46">
        <v>0</v>
      </c>
      <c r="U7" s="4" t="s">
        <v>96</v>
      </c>
      <c r="V7" s="4">
        <v>0</v>
      </c>
      <c r="W7" s="4">
        <v>0</v>
      </c>
      <c r="X7" s="4">
        <v>0</v>
      </c>
      <c r="Y7" s="4">
        <v>0</v>
      </c>
      <c r="Z7" s="8"/>
      <c r="AA7" s="31"/>
      <c r="AB7" s="22">
        <v>0</v>
      </c>
      <c r="AC7" s="4">
        <v>0</v>
      </c>
      <c r="AD7" s="4">
        <v>0</v>
      </c>
      <c r="AE7" s="4">
        <v>0</v>
      </c>
      <c r="AF7" s="8"/>
      <c r="AG7" s="33"/>
      <c r="AH7" s="47" t="s">
        <v>306</v>
      </c>
      <c r="AI7" s="48" t="s">
        <v>306</v>
      </c>
    </row>
    <row r="8" spans="1:35" ht="42">
      <c r="A8" s="4">
        <v>3</v>
      </c>
      <c r="B8" s="4" t="s">
        <v>315</v>
      </c>
      <c r="C8" s="4" t="s">
        <v>316</v>
      </c>
      <c r="D8" s="4" t="s">
        <v>288</v>
      </c>
      <c r="E8" s="4" t="s">
        <v>299</v>
      </c>
      <c r="F8" s="43" t="s">
        <v>317</v>
      </c>
      <c r="G8" s="40"/>
      <c r="H8" s="8"/>
      <c r="I8" s="8"/>
      <c r="J8" s="4" t="s">
        <v>5</v>
      </c>
      <c r="K8" s="4" t="s">
        <v>318</v>
      </c>
      <c r="L8" s="4">
        <v>1</v>
      </c>
      <c r="M8" s="4">
        <v>0</v>
      </c>
      <c r="N8" s="4">
        <v>0</v>
      </c>
      <c r="O8" s="4" t="s">
        <v>319</v>
      </c>
      <c r="P8" s="45">
        <v>43388</v>
      </c>
      <c r="Q8" s="45">
        <v>45646</v>
      </c>
      <c r="R8" s="49"/>
      <c r="S8" s="8"/>
      <c r="T8" s="49"/>
      <c r="U8" s="8"/>
      <c r="V8" s="8"/>
      <c r="W8" s="8"/>
      <c r="X8" s="8"/>
      <c r="Y8" s="8"/>
      <c r="Z8" s="8"/>
      <c r="AA8" s="31"/>
      <c r="AB8" s="32"/>
      <c r="AC8" s="8"/>
      <c r="AD8" s="8"/>
      <c r="AE8" s="8"/>
      <c r="AF8" s="8"/>
      <c r="AG8" s="33"/>
      <c r="AH8" s="34"/>
      <c r="AI8" s="35"/>
    </row>
    <row r="9" spans="1:35" ht="112">
      <c r="A9" s="4">
        <v>4</v>
      </c>
      <c r="B9" s="4" t="s">
        <v>320</v>
      </c>
      <c r="C9" s="4" t="s">
        <v>321</v>
      </c>
      <c r="D9" s="4" t="s">
        <v>288</v>
      </c>
      <c r="E9" s="4" t="s">
        <v>299</v>
      </c>
      <c r="F9" s="43" t="s">
        <v>322</v>
      </c>
      <c r="G9" s="27">
        <v>15</v>
      </c>
      <c r="H9" s="4">
        <v>2</v>
      </c>
      <c r="I9" s="4" t="s">
        <v>323</v>
      </c>
      <c r="J9" s="4" t="s">
        <v>55</v>
      </c>
      <c r="K9" s="4" t="s">
        <v>324</v>
      </c>
      <c r="L9" s="4">
        <v>1</v>
      </c>
      <c r="M9" s="8"/>
      <c r="N9" s="8"/>
      <c r="O9" s="8"/>
      <c r="P9" s="45">
        <v>43388</v>
      </c>
      <c r="Q9" s="45">
        <v>43819</v>
      </c>
      <c r="R9" s="49"/>
      <c r="S9" s="8"/>
      <c r="T9" s="49"/>
      <c r="U9" s="4" t="s">
        <v>90</v>
      </c>
      <c r="V9" s="8"/>
      <c r="W9" s="8"/>
      <c r="X9" s="8"/>
      <c r="Y9" s="8"/>
      <c r="Z9" s="8"/>
      <c r="AA9" s="31"/>
      <c r="AB9" s="32"/>
      <c r="AC9" s="8"/>
      <c r="AD9" s="8"/>
      <c r="AE9" s="8"/>
      <c r="AF9" s="8"/>
      <c r="AG9" s="33"/>
      <c r="AH9" s="34"/>
      <c r="AI9" s="35"/>
    </row>
    <row r="10" spans="1:35" ht="140">
      <c r="A10" s="4">
        <v>5</v>
      </c>
      <c r="B10" s="4" t="s">
        <v>327</v>
      </c>
      <c r="C10" s="4" t="s">
        <v>328</v>
      </c>
      <c r="D10" s="4" t="s">
        <v>288</v>
      </c>
      <c r="E10" s="4" t="s">
        <v>299</v>
      </c>
      <c r="F10" s="43" t="s">
        <v>329</v>
      </c>
      <c r="G10" s="27">
        <v>15</v>
      </c>
      <c r="H10" s="4">
        <v>2</v>
      </c>
      <c r="I10" s="4" t="s">
        <v>330</v>
      </c>
      <c r="J10" s="4" t="s">
        <v>55</v>
      </c>
      <c r="K10" s="4" t="s">
        <v>331</v>
      </c>
      <c r="L10" s="4">
        <v>1</v>
      </c>
      <c r="M10" s="4">
        <v>1</v>
      </c>
      <c r="N10" s="4">
        <v>0</v>
      </c>
      <c r="O10" s="4" t="s">
        <v>332</v>
      </c>
      <c r="P10" s="50">
        <v>43388</v>
      </c>
      <c r="Q10" s="50">
        <v>43819</v>
      </c>
      <c r="R10" s="46">
        <v>0</v>
      </c>
      <c r="S10" s="8"/>
      <c r="T10" s="46"/>
      <c r="U10" s="4" t="s">
        <v>90</v>
      </c>
      <c r="V10" s="8"/>
      <c r="W10" s="8"/>
      <c r="X10" s="8"/>
      <c r="Y10" s="8"/>
      <c r="Z10" s="8"/>
      <c r="AA10" s="31"/>
      <c r="AB10" s="32"/>
      <c r="AC10" s="8"/>
      <c r="AD10" s="8"/>
      <c r="AE10" s="8"/>
      <c r="AF10" s="8"/>
      <c r="AG10" s="33"/>
      <c r="AH10" s="34"/>
      <c r="AI10" s="35"/>
    </row>
    <row r="11" spans="1:35" ht="56">
      <c r="A11" s="4">
        <v>6</v>
      </c>
      <c r="B11" s="4" t="s">
        <v>333</v>
      </c>
      <c r="C11" s="4" t="s">
        <v>334</v>
      </c>
      <c r="D11" s="4" t="s">
        <v>288</v>
      </c>
      <c r="E11" s="4" t="s">
        <v>299</v>
      </c>
      <c r="F11" s="43" t="s">
        <v>335</v>
      </c>
      <c r="G11" s="27">
        <v>15</v>
      </c>
      <c r="H11" s="4">
        <v>2</v>
      </c>
      <c r="I11" s="4" t="s">
        <v>336</v>
      </c>
      <c r="J11" s="4" t="s">
        <v>55</v>
      </c>
      <c r="K11" s="4" t="s">
        <v>337</v>
      </c>
      <c r="L11" s="4"/>
      <c r="M11" s="8"/>
      <c r="N11" s="8"/>
      <c r="O11" s="8"/>
      <c r="P11" s="45">
        <v>43388</v>
      </c>
      <c r="Q11" s="45">
        <v>43819</v>
      </c>
      <c r="R11" s="49"/>
      <c r="S11" s="8"/>
      <c r="T11" s="49"/>
      <c r="U11" s="8"/>
      <c r="V11" s="8"/>
      <c r="W11" s="8"/>
      <c r="X11" s="8"/>
      <c r="Y11" s="8"/>
      <c r="Z11" s="8"/>
      <c r="AA11" s="31"/>
      <c r="AB11" s="32"/>
      <c r="AC11" s="8"/>
      <c r="AD11" s="8"/>
      <c r="AE11" s="8"/>
      <c r="AF11" s="8"/>
      <c r="AG11" s="33"/>
      <c r="AH11" s="34"/>
      <c r="AI11" s="35"/>
    </row>
    <row r="12" spans="1:35" ht="84">
      <c r="A12" s="4">
        <v>7</v>
      </c>
      <c r="B12" s="4" t="s">
        <v>338</v>
      </c>
      <c r="C12" s="4" t="s">
        <v>339</v>
      </c>
      <c r="D12" s="4" t="s">
        <v>288</v>
      </c>
      <c r="E12" s="4" t="s">
        <v>299</v>
      </c>
      <c r="F12" s="43" t="s">
        <v>341</v>
      </c>
      <c r="G12" s="40"/>
      <c r="H12" s="8"/>
      <c r="I12" s="4" t="s">
        <v>222</v>
      </c>
      <c r="J12" s="8"/>
      <c r="K12" s="4" t="s">
        <v>343</v>
      </c>
      <c r="L12" s="4"/>
      <c r="M12" s="8"/>
      <c r="N12" s="8"/>
      <c r="O12" s="8"/>
      <c r="P12" s="45">
        <v>43388</v>
      </c>
      <c r="Q12" s="45">
        <v>43647</v>
      </c>
      <c r="R12" s="49"/>
      <c r="S12" s="8"/>
      <c r="T12" s="49"/>
      <c r="U12" s="8"/>
      <c r="V12" s="8"/>
      <c r="W12" s="8"/>
      <c r="X12" s="8"/>
      <c r="Y12" s="8"/>
      <c r="Z12" s="8"/>
      <c r="AA12" s="31"/>
      <c r="AB12" s="32"/>
      <c r="AC12" s="8"/>
      <c r="AD12" s="8"/>
      <c r="AE12" s="8"/>
      <c r="AF12" s="8"/>
      <c r="AG12" s="33"/>
      <c r="AH12" s="34"/>
      <c r="AI12" s="35"/>
    </row>
    <row r="13" spans="1:35" ht="70">
      <c r="A13" s="4">
        <v>8</v>
      </c>
      <c r="B13" s="4" t="s">
        <v>345</v>
      </c>
      <c r="C13" s="4" t="s">
        <v>346</v>
      </c>
      <c r="D13" s="4" t="s">
        <v>288</v>
      </c>
      <c r="E13" s="4" t="s">
        <v>299</v>
      </c>
      <c r="F13" s="43" t="s">
        <v>347</v>
      </c>
      <c r="G13" s="27">
        <v>15</v>
      </c>
      <c r="H13" s="4">
        <v>2</v>
      </c>
      <c r="I13" s="4" t="s">
        <v>348</v>
      </c>
      <c r="J13" s="4" t="s">
        <v>55</v>
      </c>
      <c r="K13" s="4" t="s">
        <v>349</v>
      </c>
      <c r="L13" s="4"/>
      <c r="M13" s="8"/>
      <c r="N13" s="8"/>
      <c r="O13" s="8"/>
      <c r="P13" s="45">
        <v>43388</v>
      </c>
      <c r="Q13" s="45">
        <v>45646</v>
      </c>
      <c r="R13" s="49"/>
      <c r="S13" s="8"/>
      <c r="T13" s="49"/>
      <c r="U13" s="8"/>
      <c r="V13" s="8"/>
      <c r="W13" s="8"/>
      <c r="X13" s="8"/>
      <c r="Y13" s="8"/>
      <c r="Z13" s="8"/>
      <c r="AA13" s="31"/>
      <c r="AB13" s="32"/>
      <c r="AC13" s="8"/>
      <c r="AD13" s="8"/>
      <c r="AE13" s="8"/>
      <c r="AF13" s="8"/>
      <c r="AG13" s="33"/>
      <c r="AH13" s="34"/>
      <c r="AI13" s="35"/>
    </row>
    <row r="14" spans="1:35" ht="70">
      <c r="A14" s="4">
        <v>9</v>
      </c>
      <c r="B14" s="4" t="s">
        <v>350</v>
      </c>
      <c r="C14" s="4" t="s">
        <v>351</v>
      </c>
      <c r="D14" s="4" t="s">
        <v>288</v>
      </c>
      <c r="E14" s="4" t="s">
        <v>299</v>
      </c>
      <c r="F14" s="43" t="s">
        <v>352</v>
      </c>
      <c r="G14" s="40"/>
      <c r="H14" s="8"/>
      <c r="I14" s="8"/>
      <c r="J14" s="4" t="s">
        <v>55</v>
      </c>
      <c r="K14" s="4" t="s">
        <v>318</v>
      </c>
      <c r="L14" s="4"/>
      <c r="M14" s="8"/>
      <c r="N14" s="8"/>
      <c r="O14" s="8"/>
      <c r="P14" s="45">
        <v>43388</v>
      </c>
      <c r="Q14" s="45">
        <v>45646</v>
      </c>
      <c r="R14" s="49"/>
      <c r="S14" s="8"/>
      <c r="T14" s="49"/>
      <c r="U14" s="8"/>
      <c r="V14" s="8"/>
      <c r="W14" s="8"/>
      <c r="X14" s="8"/>
      <c r="Y14" s="8"/>
      <c r="Z14" s="8"/>
      <c r="AA14" s="31"/>
      <c r="AB14" s="32"/>
      <c r="AC14" s="8"/>
      <c r="AD14" s="8"/>
      <c r="AE14" s="8"/>
      <c r="AF14" s="8"/>
      <c r="AG14" s="33"/>
      <c r="AH14" s="34"/>
      <c r="AI14" s="35"/>
    </row>
    <row r="15" spans="1:35" ht="98">
      <c r="A15" s="4">
        <v>10</v>
      </c>
      <c r="B15" s="4" t="s">
        <v>355</v>
      </c>
      <c r="C15" s="4" t="s">
        <v>356</v>
      </c>
      <c r="D15" s="4" t="s">
        <v>288</v>
      </c>
      <c r="E15" s="4" t="s">
        <v>299</v>
      </c>
      <c r="F15" s="43" t="s">
        <v>357</v>
      </c>
      <c r="G15" s="40"/>
      <c r="H15" s="8"/>
      <c r="I15" s="8"/>
      <c r="J15" s="8"/>
      <c r="K15" s="4"/>
      <c r="L15" s="4"/>
      <c r="M15" s="8"/>
      <c r="N15" s="8"/>
      <c r="O15" s="8"/>
      <c r="P15" s="45">
        <v>43388</v>
      </c>
      <c r="Q15" s="45">
        <v>43466</v>
      </c>
      <c r="R15" s="49"/>
      <c r="S15" s="8"/>
      <c r="T15" s="49"/>
      <c r="U15" s="8"/>
      <c r="V15" s="8"/>
      <c r="W15" s="8"/>
      <c r="X15" s="8"/>
      <c r="Y15" s="8"/>
      <c r="Z15" s="8"/>
      <c r="AA15" s="31"/>
      <c r="AB15" s="32"/>
      <c r="AC15" s="8"/>
      <c r="AD15" s="8"/>
      <c r="AE15" s="8"/>
      <c r="AF15" s="8"/>
      <c r="AG15" s="33"/>
      <c r="AH15" s="34"/>
      <c r="AI15" s="35"/>
    </row>
    <row r="16" spans="1:35" ht="42">
      <c r="A16" s="4">
        <v>12</v>
      </c>
      <c r="B16" s="4" t="s">
        <v>358</v>
      </c>
      <c r="C16" s="4" t="s">
        <v>359</v>
      </c>
      <c r="D16" s="4" t="s">
        <v>288</v>
      </c>
      <c r="E16" s="4" t="s">
        <v>299</v>
      </c>
      <c r="F16" s="43" t="s">
        <v>360</v>
      </c>
      <c r="G16" s="40"/>
      <c r="H16" s="8"/>
      <c r="I16" s="8"/>
      <c r="J16" s="8"/>
      <c r="K16" s="4"/>
      <c r="L16" s="4"/>
      <c r="M16" s="8"/>
      <c r="N16" s="8"/>
      <c r="O16" s="8"/>
      <c r="P16" s="45">
        <v>43466</v>
      </c>
      <c r="Q16" s="45">
        <v>43678</v>
      </c>
      <c r="R16" s="49"/>
      <c r="S16" s="8"/>
      <c r="T16" s="49"/>
      <c r="U16" s="8"/>
      <c r="V16" s="8"/>
      <c r="W16" s="8"/>
      <c r="X16" s="8"/>
      <c r="Y16" s="8"/>
      <c r="Z16" s="8"/>
      <c r="AA16" s="31"/>
      <c r="AB16" s="32"/>
      <c r="AC16" s="8"/>
      <c r="AD16" s="8"/>
      <c r="AE16" s="8"/>
      <c r="AF16" s="8"/>
      <c r="AG16" s="33"/>
      <c r="AH16" s="34"/>
      <c r="AI16" s="35"/>
    </row>
    <row r="17" spans="1:35" ht="56">
      <c r="A17" s="4">
        <v>13</v>
      </c>
      <c r="B17" s="4" t="s">
        <v>363</v>
      </c>
      <c r="C17" s="4" t="s">
        <v>364</v>
      </c>
      <c r="D17" s="4" t="s">
        <v>288</v>
      </c>
      <c r="E17" s="4" t="s">
        <v>299</v>
      </c>
      <c r="F17" s="43" t="s">
        <v>365</v>
      </c>
      <c r="G17" s="40"/>
      <c r="H17" s="8"/>
      <c r="I17" s="8"/>
      <c r="J17" s="8"/>
      <c r="K17" s="4"/>
      <c r="L17" s="4"/>
      <c r="M17" s="8"/>
      <c r="N17" s="8"/>
      <c r="O17" s="8"/>
      <c r="P17" s="45">
        <v>43678</v>
      </c>
      <c r="Q17" s="45">
        <v>43819</v>
      </c>
      <c r="R17" s="49"/>
      <c r="S17" s="8"/>
      <c r="T17" s="49"/>
      <c r="U17" s="8"/>
      <c r="V17" s="8"/>
      <c r="W17" s="8"/>
      <c r="X17" s="8"/>
      <c r="Y17" s="8"/>
      <c r="Z17" s="8"/>
      <c r="AA17" s="31"/>
      <c r="AB17" s="32"/>
      <c r="AC17" s="8"/>
      <c r="AD17" s="8"/>
      <c r="AE17" s="8"/>
      <c r="AF17" s="8"/>
      <c r="AG17" s="33"/>
      <c r="AH17" s="34"/>
      <c r="AI17" s="35"/>
    </row>
    <row r="18" spans="1:35" ht="56">
      <c r="A18" s="4">
        <v>14</v>
      </c>
      <c r="B18" s="4" t="s">
        <v>366</v>
      </c>
      <c r="C18" s="4" t="s">
        <v>367</v>
      </c>
      <c r="D18" s="4" t="s">
        <v>288</v>
      </c>
      <c r="E18" s="4" t="s">
        <v>299</v>
      </c>
      <c r="F18" s="43" t="s">
        <v>368</v>
      </c>
      <c r="G18" s="40"/>
      <c r="H18" s="8"/>
      <c r="I18" s="8"/>
      <c r="J18" s="8"/>
      <c r="K18" s="4"/>
      <c r="L18" s="4"/>
      <c r="M18" s="8"/>
      <c r="N18" s="8"/>
      <c r="O18" s="8"/>
      <c r="P18" s="45">
        <v>43388</v>
      </c>
      <c r="Q18" s="45">
        <v>45474</v>
      </c>
      <c r="R18" s="49"/>
      <c r="S18" s="8"/>
      <c r="T18" s="49"/>
      <c r="U18" s="8"/>
      <c r="V18" s="8"/>
      <c r="W18" s="8"/>
      <c r="X18" s="8"/>
      <c r="Y18" s="8"/>
      <c r="Z18" s="8"/>
      <c r="AA18" s="31"/>
      <c r="AB18" s="32"/>
      <c r="AC18" s="8"/>
      <c r="AD18" s="8"/>
      <c r="AE18" s="8"/>
      <c r="AF18" s="8"/>
      <c r="AG18" s="33"/>
      <c r="AH18" s="34"/>
      <c r="AI18" s="35"/>
    </row>
    <row r="19" spans="1:35" ht="42">
      <c r="A19" s="4">
        <v>15</v>
      </c>
      <c r="B19" s="4" t="s">
        <v>369</v>
      </c>
      <c r="C19" s="4" t="s">
        <v>370</v>
      </c>
      <c r="D19" s="4" t="s">
        <v>288</v>
      </c>
      <c r="E19" s="4" t="s">
        <v>299</v>
      </c>
      <c r="F19" s="43" t="s">
        <v>371</v>
      </c>
      <c r="G19" s="40"/>
      <c r="H19" s="8"/>
      <c r="I19" s="8"/>
      <c r="J19" s="8"/>
      <c r="K19" s="4"/>
      <c r="L19" s="4"/>
      <c r="M19" s="8"/>
      <c r="N19" s="8"/>
      <c r="O19" s="8"/>
      <c r="P19" s="45">
        <v>43388</v>
      </c>
      <c r="Q19" s="45">
        <v>43819</v>
      </c>
      <c r="R19" s="49"/>
      <c r="S19" s="8"/>
      <c r="T19" s="49"/>
      <c r="U19" s="8"/>
      <c r="V19" s="8"/>
      <c r="W19" s="8"/>
      <c r="X19" s="8"/>
      <c r="Y19" s="8"/>
      <c r="Z19" s="8"/>
      <c r="AA19" s="31"/>
      <c r="AB19" s="32"/>
      <c r="AC19" s="8"/>
      <c r="AD19" s="8"/>
      <c r="AE19" s="8"/>
      <c r="AF19" s="8"/>
      <c r="AG19" s="33"/>
      <c r="AH19" s="34"/>
      <c r="AI19" s="35"/>
    </row>
    <row r="20" spans="1:35" ht="70">
      <c r="A20" s="4">
        <v>16</v>
      </c>
      <c r="B20" s="4" t="s">
        <v>374</v>
      </c>
      <c r="C20" s="4" t="s">
        <v>375</v>
      </c>
      <c r="D20" s="4" t="s">
        <v>288</v>
      </c>
      <c r="E20" s="4" t="s">
        <v>299</v>
      </c>
      <c r="F20" s="43" t="s">
        <v>376</v>
      </c>
      <c r="G20" s="40"/>
      <c r="H20" s="8"/>
      <c r="I20" s="8"/>
      <c r="J20" s="8"/>
      <c r="K20" s="4"/>
      <c r="L20" s="4"/>
      <c r="M20" s="8"/>
      <c r="N20" s="8"/>
      <c r="O20" s="8"/>
      <c r="P20" s="45">
        <v>43388</v>
      </c>
      <c r="Q20" s="45">
        <v>45646</v>
      </c>
      <c r="R20" s="49"/>
      <c r="S20" s="8"/>
      <c r="T20" s="49"/>
      <c r="U20" s="8"/>
      <c r="V20" s="8"/>
      <c r="W20" s="8"/>
      <c r="X20" s="8"/>
      <c r="Y20" s="8"/>
      <c r="Z20" s="8"/>
      <c r="AA20" s="31"/>
      <c r="AB20" s="32"/>
      <c r="AC20" s="8"/>
      <c r="AD20" s="8"/>
      <c r="AE20" s="8"/>
      <c r="AF20" s="8"/>
      <c r="AG20" s="33"/>
      <c r="AH20" s="34"/>
      <c r="AI20" s="35"/>
    </row>
    <row r="21" spans="1:35" ht="28">
      <c r="A21" s="51" t="s">
        <v>377</v>
      </c>
      <c r="B21" s="51" t="s">
        <v>378</v>
      </c>
      <c r="C21" s="38"/>
      <c r="D21" s="38"/>
      <c r="E21" s="38"/>
      <c r="F21" s="39"/>
      <c r="G21" s="40"/>
      <c r="H21" s="38"/>
      <c r="I21" s="38"/>
      <c r="J21" s="38"/>
      <c r="K21" s="38"/>
      <c r="L21" s="36">
        <v>1</v>
      </c>
      <c r="M21" s="38"/>
      <c r="N21" s="38"/>
      <c r="O21" s="38"/>
      <c r="P21" s="41"/>
      <c r="Q21" s="41"/>
      <c r="R21" s="42"/>
      <c r="S21" s="8"/>
      <c r="T21" s="42"/>
      <c r="U21" s="38"/>
      <c r="V21" s="38"/>
      <c r="W21" s="38"/>
      <c r="X21" s="38"/>
      <c r="Y21" s="38"/>
      <c r="Z21" s="38"/>
      <c r="AA21" s="52"/>
      <c r="AB21" s="53"/>
      <c r="AC21" s="38"/>
      <c r="AD21" s="38"/>
      <c r="AE21" s="38"/>
      <c r="AF21" s="38"/>
      <c r="AG21" s="54"/>
      <c r="AH21" s="34"/>
      <c r="AI21" s="35"/>
    </row>
    <row r="22" spans="1:35" ht="409.6">
      <c r="A22" s="4">
        <v>1</v>
      </c>
      <c r="B22" s="55" t="s">
        <v>380</v>
      </c>
      <c r="C22" s="4" t="s">
        <v>381</v>
      </c>
      <c r="D22" s="4" t="s">
        <v>288</v>
      </c>
      <c r="E22" s="4" t="s">
        <v>289</v>
      </c>
      <c r="F22" s="43" t="s">
        <v>290</v>
      </c>
      <c r="G22" s="27">
        <v>15</v>
      </c>
      <c r="H22" s="4">
        <v>2</v>
      </c>
      <c r="I22" s="4" t="s">
        <v>382</v>
      </c>
      <c r="J22" s="4" t="s">
        <v>71</v>
      </c>
      <c r="K22" s="8"/>
      <c r="L22" s="4">
        <v>1</v>
      </c>
      <c r="M22" s="4">
        <v>1</v>
      </c>
      <c r="N22" s="4">
        <v>0</v>
      </c>
      <c r="O22" s="4" t="s">
        <v>383</v>
      </c>
      <c r="P22" s="56">
        <v>43466</v>
      </c>
      <c r="Q22" s="56">
        <v>43525</v>
      </c>
      <c r="R22" s="57">
        <v>0</v>
      </c>
      <c r="S22" s="8"/>
      <c r="T22" s="57"/>
      <c r="U22" s="58" t="s">
        <v>90</v>
      </c>
      <c r="V22" s="4">
        <v>0</v>
      </c>
      <c r="W22" s="4">
        <v>0</v>
      </c>
      <c r="X22" s="4">
        <v>0</v>
      </c>
      <c r="Y22" s="4">
        <v>0</v>
      </c>
      <c r="Z22" s="4">
        <v>0</v>
      </c>
      <c r="AA22" s="21">
        <v>0</v>
      </c>
      <c r="AB22" s="32"/>
      <c r="AC22" s="8"/>
      <c r="AD22" s="8"/>
      <c r="AE22" s="8"/>
      <c r="AF22" s="59"/>
      <c r="AG22" s="60"/>
      <c r="AH22" s="34"/>
      <c r="AI22" s="35"/>
    </row>
    <row r="23" spans="1:35" ht="84">
      <c r="A23" s="4">
        <v>2</v>
      </c>
      <c r="B23" s="25" t="s">
        <v>384</v>
      </c>
      <c r="C23" s="4" t="s">
        <v>385</v>
      </c>
      <c r="D23" s="4" t="s">
        <v>288</v>
      </c>
      <c r="E23" s="4" t="s">
        <v>289</v>
      </c>
      <c r="F23" s="43" t="s">
        <v>309</v>
      </c>
      <c r="G23" s="27">
        <v>15</v>
      </c>
      <c r="H23" s="4">
        <v>2</v>
      </c>
      <c r="I23" s="4" t="s">
        <v>386</v>
      </c>
      <c r="J23" s="4" t="s">
        <v>71</v>
      </c>
      <c r="K23" s="8"/>
      <c r="L23" s="4">
        <v>1</v>
      </c>
      <c r="M23" s="4">
        <v>1</v>
      </c>
      <c r="N23" s="4">
        <v>0</v>
      </c>
      <c r="O23" s="61" t="s">
        <v>387</v>
      </c>
      <c r="P23" s="45">
        <v>43466</v>
      </c>
      <c r="Q23" s="45">
        <v>41993</v>
      </c>
      <c r="R23" s="46">
        <v>14318</v>
      </c>
      <c r="S23" s="8"/>
      <c r="T23" s="46"/>
      <c r="U23" s="4" t="s">
        <v>96</v>
      </c>
      <c r="V23" s="4">
        <v>0</v>
      </c>
      <c r="W23" s="4">
        <v>1588</v>
      </c>
      <c r="X23" s="4">
        <v>2743</v>
      </c>
      <c r="Y23" s="4">
        <v>3041</v>
      </c>
      <c r="Z23" s="4">
        <v>3329</v>
      </c>
      <c r="AA23" s="21">
        <v>3617</v>
      </c>
      <c r="AB23" s="32"/>
      <c r="AC23" s="8"/>
      <c r="AD23" s="8"/>
      <c r="AE23" s="8"/>
      <c r="AF23" s="59"/>
      <c r="AG23" s="60"/>
      <c r="AH23" s="34"/>
      <c r="AI23" s="35"/>
    </row>
    <row r="24" spans="1:35" ht="98">
      <c r="A24" s="4">
        <v>3</v>
      </c>
      <c r="B24" s="25" t="s">
        <v>390</v>
      </c>
      <c r="C24" s="4" t="s">
        <v>391</v>
      </c>
      <c r="D24" s="4" t="s">
        <v>288</v>
      </c>
      <c r="E24" s="4" t="s">
        <v>289</v>
      </c>
      <c r="F24" s="43" t="s">
        <v>317</v>
      </c>
      <c r="G24" s="27">
        <v>15</v>
      </c>
      <c r="H24" s="4">
        <v>2</v>
      </c>
      <c r="I24" s="4" t="s">
        <v>393</v>
      </c>
      <c r="J24" s="8"/>
      <c r="K24" s="8"/>
      <c r="L24" s="4">
        <v>1</v>
      </c>
      <c r="M24" s="8"/>
      <c r="N24" s="8"/>
      <c r="O24" s="61" t="s">
        <v>387</v>
      </c>
      <c r="P24" s="45">
        <v>43466</v>
      </c>
      <c r="Q24" s="45">
        <v>45646</v>
      </c>
      <c r="R24" s="46">
        <v>15929</v>
      </c>
      <c r="S24" s="8"/>
      <c r="T24" s="46"/>
      <c r="U24" s="4" t="s">
        <v>96</v>
      </c>
      <c r="V24" s="4">
        <v>3967.5</v>
      </c>
      <c r="W24" s="4">
        <v>962</v>
      </c>
      <c r="X24" s="4">
        <v>1092</v>
      </c>
      <c r="Y24" s="4">
        <v>3177.3</v>
      </c>
      <c r="Z24" s="4">
        <v>5092</v>
      </c>
      <c r="AA24" s="21">
        <v>1638.7</v>
      </c>
      <c r="AB24" s="32"/>
      <c r="AC24" s="8"/>
      <c r="AD24" s="8"/>
      <c r="AE24" s="8"/>
      <c r="AF24" s="59"/>
      <c r="AG24" s="60"/>
      <c r="AH24" s="34"/>
      <c r="AI24" s="35"/>
    </row>
    <row r="25" spans="1:35" ht="70">
      <c r="A25" s="4">
        <v>4</v>
      </c>
      <c r="B25" s="62" t="s">
        <v>394</v>
      </c>
      <c r="C25" s="4" t="s">
        <v>395</v>
      </c>
      <c r="D25" s="4" t="s">
        <v>288</v>
      </c>
      <c r="E25" s="4" t="s">
        <v>289</v>
      </c>
      <c r="F25" s="43" t="s">
        <v>322</v>
      </c>
      <c r="G25" s="27">
        <v>15</v>
      </c>
      <c r="H25" s="4">
        <v>2</v>
      </c>
      <c r="I25" s="4" t="s">
        <v>386</v>
      </c>
      <c r="J25" s="8"/>
      <c r="K25" s="8"/>
      <c r="L25" s="4">
        <v>1</v>
      </c>
      <c r="M25" s="8"/>
      <c r="N25" s="8"/>
      <c r="O25" s="61" t="s">
        <v>387</v>
      </c>
      <c r="P25" s="45">
        <v>43466</v>
      </c>
      <c r="Q25" s="45">
        <v>43819</v>
      </c>
      <c r="R25" s="46">
        <v>5000</v>
      </c>
      <c r="S25" s="8"/>
      <c r="T25" s="46"/>
      <c r="U25" s="4" t="s">
        <v>90</v>
      </c>
      <c r="V25" s="4">
        <v>5000</v>
      </c>
      <c r="W25" s="4">
        <v>0</v>
      </c>
      <c r="X25" s="4">
        <v>0</v>
      </c>
      <c r="Y25" s="4">
        <v>0</v>
      </c>
      <c r="Z25" s="4">
        <v>0</v>
      </c>
      <c r="AA25" s="21">
        <v>0</v>
      </c>
      <c r="AB25" s="22"/>
      <c r="AC25" s="4"/>
      <c r="AD25" s="4"/>
      <c r="AE25" s="4"/>
      <c r="AF25" s="59"/>
      <c r="AG25" s="60"/>
      <c r="AH25" s="34"/>
      <c r="AI25" s="35"/>
    </row>
    <row r="26" spans="1:35" ht="154">
      <c r="A26" s="4">
        <v>5</v>
      </c>
      <c r="B26" s="25" t="s">
        <v>396</v>
      </c>
      <c r="C26" s="4" t="s">
        <v>397</v>
      </c>
      <c r="D26" s="4" t="s">
        <v>288</v>
      </c>
      <c r="E26" s="4" t="s">
        <v>289</v>
      </c>
      <c r="F26" s="43" t="s">
        <v>329</v>
      </c>
      <c r="G26" s="27">
        <v>15</v>
      </c>
      <c r="H26" s="4">
        <v>2</v>
      </c>
      <c r="I26" s="4" t="s">
        <v>386</v>
      </c>
      <c r="J26" s="8"/>
      <c r="K26" s="8"/>
      <c r="L26" s="4">
        <v>1</v>
      </c>
      <c r="M26" s="8"/>
      <c r="N26" s="8"/>
      <c r="O26" s="61" t="s">
        <v>387</v>
      </c>
      <c r="P26" s="45">
        <v>43466</v>
      </c>
      <c r="Q26" s="45">
        <v>45646</v>
      </c>
      <c r="R26" s="46">
        <v>160298.57999999999</v>
      </c>
      <c r="S26" s="8"/>
      <c r="T26" s="46"/>
      <c r="U26" s="4" t="s">
        <v>90</v>
      </c>
      <c r="V26" s="4">
        <v>3983.18</v>
      </c>
      <c r="W26" s="4">
        <v>15900</v>
      </c>
      <c r="X26" s="4">
        <v>26787.4</v>
      </c>
      <c r="Y26" s="4">
        <v>32839</v>
      </c>
      <c r="Z26" s="4">
        <v>37385</v>
      </c>
      <c r="AA26" s="21">
        <v>43404</v>
      </c>
      <c r="AB26" s="32"/>
      <c r="AC26" s="8"/>
      <c r="AD26" s="8"/>
      <c r="AE26" s="8"/>
      <c r="AF26" s="59"/>
      <c r="AG26" s="60"/>
      <c r="AH26" s="34"/>
      <c r="AI26" s="35"/>
    </row>
    <row r="27" spans="1:35" ht="126">
      <c r="A27" s="4">
        <v>6</v>
      </c>
      <c r="B27" s="4" t="s">
        <v>401</v>
      </c>
      <c r="C27" s="4" t="s">
        <v>402</v>
      </c>
      <c r="D27" s="4" t="s">
        <v>288</v>
      </c>
      <c r="E27" s="4" t="s">
        <v>289</v>
      </c>
      <c r="F27" s="43" t="s">
        <v>335</v>
      </c>
      <c r="G27" s="27">
        <v>15</v>
      </c>
      <c r="H27" s="4">
        <v>2</v>
      </c>
      <c r="I27" s="4" t="s">
        <v>403</v>
      </c>
      <c r="J27" s="8"/>
      <c r="K27" s="8"/>
      <c r="L27" s="4">
        <v>1</v>
      </c>
      <c r="M27" s="8"/>
      <c r="N27" s="8"/>
      <c r="O27" s="61" t="s">
        <v>387</v>
      </c>
      <c r="P27" s="45">
        <v>43466</v>
      </c>
      <c r="Q27" s="45">
        <v>45646</v>
      </c>
      <c r="R27" s="49"/>
      <c r="S27" s="8"/>
      <c r="T27" s="49"/>
      <c r="U27" s="4" t="s">
        <v>90</v>
      </c>
      <c r="V27" s="4">
        <v>0</v>
      </c>
      <c r="W27" s="4">
        <v>0</v>
      </c>
      <c r="X27" s="4">
        <v>0</v>
      </c>
      <c r="Y27" s="4">
        <v>0</v>
      </c>
      <c r="Z27" s="4">
        <v>0</v>
      </c>
      <c r="AA27" s="21">
        <v>0</v>
      </c>
      <c r="AB27" s="32"/>
      <c r="AC27" s="8"/>
      <c r="AD27" s="8"/>
      <c r="AE27" s="8"/>
      <c r="AF27" s="59"/>
      <c r="AG27" s="60"/>
      <c r="AH27" s="34"/>
      <c r="AI27" s="35"/>
    </row>
    <row r="28" spans="1:35" ht="126">
      <c r="A28" s="4">
        <v>7</v>
      </c>
      <c r="B28" s="4" t="s">
        <v>404</v>
      </c>
      <c r="C28" s="4" t="s">
        <v>406</v>
      </c>
      <c r="D28" s="4" t="s">
        <v>288</v>
      </c>
      <c r="E28" s="4" t="s">
        <v>289</v>
      </c>
      <c r="F28" s="43" t="s">
        <v>341</v>
      </c>
      <c r="G28" s="27">
        <v>15</v>
      </c>
      <c r="H28" s="4">
        <v>2</v>
      </c>
      <c r="I28" s="4" t="s">
        <v>403</v>
      </c>
      <c r="J28" s="8"/>
      <c r="K28" s="8"/>
      <c r="L28" s="4">
        <v>1</v>
      </c>
      <c r="M28" s="8"/>
      <c r="N28" s="8"/>
      <c r="O28" s="61" t="s">
        <v>387</v>
      </c>
      <c r="P28" s="45">
        <v>43466</v>
      </c>
      <c r="Q28" s="45">
        <v>45646</v>
      </c>
      <c r="R28" s="49"/>
      <c r="S28" s="8"/>
      <c r="T28" s="49"/>
      <c r="U28" s="4" t="s">
        <v>96</v>
      </c>
      <c r="V28" s="4">
        <v>0</v>
      </c>
      <c r="W28" s="4">
        <v>0</v>
      </c>
      <c r="X28" s="4">
        <v>0</v>
      </c>
      <c r="Y28" s="4">
        <v>0</v>
      </c>
      <c r="Z28" s="4">
        <v>0</v>
      </c>
      <c r="AA28" s="21">
        <v>0</v>
      </c>
      <c r="AB28" s="32"/>
      <c r="AC28" s="8"/>
      <c r="AD28" s="8"/>
      <c r="AE28" s="8"/>
      <c r="AF28" s="59"/>
      <c r="AG28" s="60"/>
      <c r="AH28" s="34"/>
      <c r="AI28" s="35"/>
    </row>
    <row r="29" spans="1:35" ht="126">
      <c r="A29" s="4">
        <v>8</v>
      </c>
      <c r="B29" s="4" t="s">
        <v>407</v>
      </c>
      <c r="C29" s="4" t="s">
        <v>408</v>
      </c>
      <c r="D29" s="4" t="s">
        <v>288</v>
      </c>
      <c r="E29" s="4" t="s">
        <v>289</v>
      </c>
      <c r="F29" s="43" t="s">
        <v>347</v>
      </c>
      <c r="G29" s="27">
        <v>15</v>
      </c>
      <c r="H29" s="4">
        <v>2</v>
      </c>
      <c r="I29" s="4" t="s">
        <v>409</v>
      </c>
      <c r="J29" s="8"/>
      <c r="K29" s="8"/>
      <c r="L29" s="4">
        <v>1</v>
      </c>
      <c r="M29" s="8"/>
      <c r="N29" s="8"/>
      <c r="O29" s="61" t="s">
        <v>387</v>
      </c>
      <c r="P29" s="45">
        <v>43466</v>
      </c>
      <c r="Q29" s="45">
        <v>45646</v>
      </c>
      <c r="R29" s="46">
        <v>0</v>
      </c>
      <c r="S29" s="8"/>
      <c r="T29" s="46"/>
      <c r="U29" s="4" t="s">
        <v>90</v>
      </c>
      <c r="V29" s="4">
        <v>0</v>
      </c>
      <c r="W29" s="4">
        <v>0</v>
      </c>
      <c r="X29" s="4">
        <v>0</v>
      </c>
      <c r="Y29" s="4">
        <v>0</v>
      </c>
      <c r="Z29" s="4">
        <v>0</v>
      </c>
      <c r="AA29" s="21">
        <v>0</v>
      </c>
      <c r="AB29" s="32"/>
      <c r="AC29" s="8"/>
      <c r="AD29" s="8"/>
      <c r="AE29" s="8"/>
      <c r="AF29" s="59"/>
      <c r="AG29" s="60"/>
      <c r="AH29" s="34"/>
      <c r="AI29" s="35"/>
    </row>
    <row r="30" spans="1:35" ht="126">
      <c r="A30" s="4">
        <v>9</v>
      </c>
      <c r="B30" s="4" t="s">
        <v>410</v>
      </c>
      <c r="C30" s="4" t="s">
        <v>411</v>
      </c>
      <c r="D30" s="4" t="s">
        <v>288</v>
      </c>
      <c r="E30" s="4" t="s">
        <v>289</v>
      </c>
      <c r="F30" s="43" t="s">
        <v>352</v>
      </c>
      <c r="G30" s="27">
        <v>15</v>
      </c>
      <c r="H30" s="4">
        <v>2</v>
      </c>
      <c r="I30" s="4" t="s">
        <v>412</v>
      </c>
      <c r="J30" s="8"/>
      <c r="K30" s="8"/>
      <c r="L30" s="4">
        <v>1</v>
      </c>
      <c r="M30" s="8"/>
      <c r="N30" s="8"/>
      <c r="O30" s="61" t="s">
        <v>387</v>
      </c>
      <c r="P30" s="45">
        <v>43466</v>
      </c>
      <c r="Q30" s="45">
        <v>45646</v>
      </c>
      <c r="R30" s="46">
        <v>0</v>
      </c>
      <c r="S30" s="8"/>
      <c r="T30" s="46"/>
      <c r="U30" s="4" t="s">
        <v>90</v>
      </c>
      <c r="V30" s="4">
        <v>0</v>
      </c>
      <c r="W30" s="4">
        <v>0</v>
      </c>
      <c r="X30" s="4">
        <v>0</v>
      </c>
      <c r="Y30" s="4">
        <v>0</v>
      </c>
      <c r="Z30" s="4">
        <v>0</v>
      </c>
      <c r="AA30" s="21">
        <v>0</v>
      </c>
      <c r="AB30" s="32"/>
      <c r="AC30" s="8"/>
      <c r="AD30" s="8"/>
      <c r="AE30" s="8"/>
      <c r="AF30" s="59"/>
      <c r="AG30" s="60"/>
      <c r="AH30" s="34"/>
      <c r="AI30" s="35"/>
    </row>
    <row r="31" spans="1:35" ht="126">
      <c r="A31" s="4">
        <v>10</v>
      </c>
      <c r="B31" s="4" t="s">
        <v>414</v>
      </c>
      <c r="C31" s="4" t="s">
        <v>415</v>
      </c>
      <c r="D31" s="4" t="s">
        <v>288</v>
      </c>
      <c r="E31" s="4" t="s">
        <v>289</v>
      </c>
      <c r="F31" s="43" t="s">
        <v>416</v>
      </c>
      <c r="G31" s="27">
        <v>15</v>
      </c>
      <c r="H31" s="4">
        <v>2</v>
      </c>
      <c r="I31" s="4" t="s">
        <v>417</v>
      </c>
      <c r="J31" s="8"/>
      <c r="K31" s="8"/>
      <c r="L31" s="4">
        <v>1</v>
      </c>
      <c r="M31" s="8"/>
      <c r="N31" s="8"/>
      <c r="O31" s="61" t="s">
        <v>387</v>
      </c>
      <c r="P31" s="45">
        <v>43466</v>
      </c>
      <c r="Q31" s="45">
        <v>43647</v>
      </c>
      <c r="R31" s="46">
        <v>0</v>
      </c>
      <c r="S31" s="8"/>
      <c r="T31" s="46"/>
      <c r="U31" s="4" t="s">
        <v>90</v>
      </c>
      <c r="V31" s="4">
        <v>0</v>
      </c>
      <c r="W31" s="4">
        <v>0</v>
      </c>
      <c r="X31" s="4">
        <v>0</v>
      </c>
      <c r="Y31" s="4">
        <v>0</v>
      </c>
      <c r="Z31" s="4">
        <v>0</v>
      </c>
      <c r="AA31" s="21">
        <v>0</v>
      </c>
      <c r="AB31" s="32"/>
      <c r="AC31" s="8"/>
      <c r="AD31" s="8"/>
      <c r="AE31" s="8"/>
      <c r="AF31" s="59"/>
      <c r="AG31" s="60"/>
      <c r="AH31" s="34"/>
      <c r="AI31" s="35"/>
    </row>
    <row r="32" spans="1:35" ht="42">
      <c r="A32" s="4">
        <v>11</v>
      </c>
      <c r="B32" s="25" t="s">
        <v>418</v>
      </c>
      <c r="C32" s="4" t="s">
        <v>419</v>
      </c>
      <c r="D32" s="4" t="s">
        <v>288</v>
      </c>
      <c r="E32" s="4" t="s">
        <v>289</v>
      </c>
      <c r="F32" s="43" t="s">
        <v>420</v>
      </c>
      <c r="G32" s="27">
        <v>15</v>
      </c>
      <c r="H32" s="4">
        <v>2</v>
      </c>
      <c r="I32" s="4" t="s">
        <v>386</v>
      </c>
      <c r="J32" s="8"/>
      <c r="K32" s="8"/>
      <c r="L32" s="4">
        <v>1</v>
      </c>
      <c r="M32" s="8"/>
      <c r="N32" s="8"/>
      <c r="O32" s="61" t="s">
        <v>387</v>
      </c>
      <c r="P32" s="45">
        <v>43466</v>
      </c>
      <c r="Q32" s="45">
        <v>45646</v>
      </c>
      <c r="R32" s="46">
        <v>7030</v>
      </c>
      <c r="S32" s="8"/>
      <c r="T32" s="46"/>
      <c r="U32" s="4" t="s">
        <v>90</v>
      </c>
      <c r="V32" s="4">
        <v>0</v>
      </c>
      <c r="W32" s="4">
        <v>1930</v>
      </c>
      <c r="X32" s="4">
        <v>0</v>
      </c>
      <c r="Y32" s="4">
        <v>2300</v>
      </c>
      <c r="Z32" s="4">
        <v>1400</v>
      </c>
      <c r="AA32" s="21">
        <v>1400</v>
      </c>
      <c r="AB32" s="22">
        <v>0</v>
      </c>
      <c r="AC32" s="4">
        <v>1930</v>
      </c>
      <c r="AD32" s="4">
        <v>0</v>
      </c>
      <c r="AE32" s="4">
        <v>2300</v>
      </c>
      <c r="AF32" s="59"/>
      <c r="AG32" s="60"/>
      <c r="AH32" s="34"/>
      <c r="AI32" s="35"/>
    </row>
    <row r="33" spans="1:35" ht="84">
      <c r="A33" s="4">
        <v>12</v>
      </c>
      <c r="B33" s="25" t="s">
        <v>423</v>
      </c>
      <c r="C33" s="4" t="s">
        <v>424</v>
      </c>
      <c r="D33" s="4" t="s">
        <v>288</v>
      </c>
      <c r="E33" s="4" t="s">
        <v>289</v>
      </c>
      <c r="F33" s="43" t="s">
        <v>425</v>
      </c>
      <c r="G33" s="27">
        <v>15</v>
      </c>
      <c r="H33" s="4">
        <v>2</v>
      </c>
      <c r="I33" s="4" t="s">
        <v>386</v>
      </c>
      <c r="J33" s="8"/>
      <c r="K33" s="8"/>
      <c r="L33" s="4">
        <v>1</v>
      </c>
      <c r="M33" s="8"/>
      <c r="N33" s="8"/>
      <c r="O33" s="61" t="s">
        <v>387</v>
      </c>
      <c r="P33" s="45">
        <v>43466</v>
      </c>
      <c r="Q33" s="45">
        <v>43819</v>
      </c>
      <c r="R33" s="46">
        <v>1215</v>
      </c>
      <c r="S33" s="8"/>
      <c r="T33" s="46"/>
      <c r="U33" s="4" t="s">
        <v>90</v>
      </c>
      <c r="V33" s="4">
        <v>1215</v>
      </c>
      <c r="W33" s="4">
        <v>0</v>
      </c>
      <c r="X33" s="4">
        <v>0</v>
      </c>
      <c r="Y33" s="4">
        <v>0</v>
      </c>
      <c r="Z33" s="4">
        <v>0</v>
      </c>
      <c r="AA33" s="21">
        <v>0</v>
      </c>
      <c r="AB33" s="32"/>
      <c r="AC33" s="8"/>
      <c r="AD33" s="8"/>
      <c r="AE33" s="8"/>
      <c r="AF33" s="59"/>
      <c r="AG33" s="60"/>
      <c r="AH33" s="34"/>
      <c r="AI33" s="35"/>
    </row>
    <row r="34" spans="1:35" ht="154">
      <c r="A34" s="4">
        <v>13</v>
      </c>
      <c r="B34" s="4" t="s">
        <v>426</v>
      </c>
      <c r="C34" s="4" t="s">
        <v>427</v>
      </c>
      <c r="D34" s="4" t="s">
        <v>288</v>
      </c>
      <c r="E34" s="4" t="s">
        <v>289</v>
      </c>
      <c r="F34" s="43" t="s">
        <v>428</v>
      </c>
      <c r="G34" s="27">
        <v>15</v>
      </c>
      <c r="H34" s="4">
        <v>2</v>
      </c>
      <c r="I34" s="4" t="s">
        <v>386</v>
      </c>
      <c r="J34" s="8"/>
      <c r="K34" s="8"/>
      <c r="L34" s="4">
        <v>1</v>
      </c>
      <c r="M34" s="8"/>
      <c r="N34" s="8"/>
      <c r="O34" s="61" t="s">
        <v>387</v>
      </c>
      <c r="P34" s="45">
        <v>43466</v>
      </c>
      <c r="Q34" s="45">
        <v>45646</v>
      </c>
      <c r="R34" s="46">
        <v>0</v>
      </c>
      <c r="S34" s="8"/>
      <c r="T34" s="46"/>
      <c r="U34" s="4" t="s">
        <v>90</v>
      </c>
      <c r="V34" s="4">
        <v>0</v>
      </c>
      <c r="W34" s="4">
        <v>0</v>
      </c>
      <c r="X34" s="4">
        <v>0</v>
      </c>
      <c r="Y34" s="4">
        <v>0</v>
      </c>
      <c r="Z34" s="4">
        <v>0</v>
      </c>
      <c r="AA34" s="21">
        <v>0</v>
      </c>
      <c r="AB34" s="32"/>
      <c r="AC34" s="8"/>
      <c r="AD34" s="8"/>
      <c r="AE34" s="8"/>
      <c r="AF34" s="59"/>
      <c r="AG34" s="60"/>
      <c r="AH34" s="34"/>
      <c r="AI34" s="35"/>
    </row>
    <row r="35" spans="1:35" ht="126">
      <c r="A35" s="4">
        <v>14</v>
      </c>
      <c r="B35" s="4" t="s">
        <v>429</v>
      </c>
      <c r="C35" s="4" t="s">
        <v>430</v>
      </c>
      <c r="D35" s="4" t="s">
        <v>288</v>
      </c>
      <c r="E35" s="4" t="s">
        <v>289</v>
      </c>
      <c r="F35" s="43" t="s">
        <v>431</v>
      </c>
      <c r="G35" s="27">
        <v>15</v>
      </c>
      <c r="H35" s="4">
        <v>2</v>
      </c>
      <c r="I35" s="4" t="s">
        <v>386</v>
      </c>
      <c r="J35" s="8"/>
      <c r="K35" s="8"/>
      <c r="L35" s="4">
        <v>1</v>
      </c>
      <c r="M35" s="8"/>
      <c r="N35" s="8"/>
      <c r="O35" s="61" t="s">
        <v>387</v>
      </c>
      <c r="P35" s="63">
        <v>43466</v>
      </c>
      <c r="Q35" s="63">
        <v>43647</v>
      </c>
      <c r="R35" s="64">
        <v>0</v>
      </c>
      <c r="S35" s="65"/>
      <c r="T35" s="64"/>
      <c r="U35" s="18" t="s">
        <v>90</v>
      </c>
      <c r="V35" s="4">
        <v>0</v>
      </c>
      <c r="W35" s="4">
        <v>0</v>
      </c>
      <c r="X35" s="4">
        <v>0</v>
      </c>
      <c r="Y35" s="4">
        <v>0</v>
      </c>
      <c r="Z35" s="4">
        <v>0</v>
      </c>
      <c r="AA35" s="21">
        <v>0</v>
      </c>
      <c r="AB35" s="32"/>
      <c r="AC35" s="8"/>
      <c r="AD35" s="8"/>
      <c r="AE35" s="8"/>
      <c r="AF35" s="59"/>
      <c r="AG35" s="60"/>
      <c r="AH35" s="34"/>
      <c r="AI35" s="35"/>
    </row>
    <row r="36" spans="1:35" ht="42">
      <c r="A36" s="4">
        <v>15</v>
      </c>
      <c r="B36" s="25" t="s">
        <v>432</v>
      </c>
      <c r="C36" s="4" t="s">
        <v>433</v>
      </c>
      <c r="D36" s="4" t="s">
        <v>288</v>
      </c>
      <c r="E36" s="4" t="s">
        <v>289</v>
      </c>
      <c r="F36" s="43" t="s">
        <v>434</v>
      </c>
      <c r="G36" s="27">
        <v>15</v>
      </c>
      <c r="H36" s="4">
        <v>2</v>
      </c>
      <c r="I36" s="4" t="s">
        <v>386</v>
      </c>
      <c r="J36" s="8"/>
      <c r="K36" s="8"/>
      <c r="L36" s="4">
        <v>1</v>
      </c>
      <c r="M36" s="8"/>
      <c r="N36" s="8"/>
      <c r="O36" s="61" t="s">
        <v>387</v>
      </c>
      <c r="P36" s="63">
        <v>43466</v>
      </c>
      <c r="Q36" s="63">
        <v>45646</v>
      </c>
      <c r="R36" s="64">
        <v>600</v>
      </c>
      <c r="S36" s="65"/>
      <c r="T36" s="64"/>
      <c r="U36" s="18" t="s">
        <v>96</v>
      </c>
      <c r="V36" s="4">
        <v>0</v>
      </c>
      <c r="W36" s="4">
        <v>60</v>
      </c>
      <c r="X36" s="4">
        <v>100</v>
      </c>
      <c r="Y36" s="4">
        <v>120</v>
      </c>
      <c r="Z36" s="4">
        <v>160</v>
      </c>
      <c r="AA36" s="21">
        <v>160</v>
      </c>
      <c r="AB36" s="22">
        <v>40</v>
      </c>
      <c r="AC36" s="4">
        <v>60</v>
      </c>
      <c r="AD36" s="4">
        <v>100</v>
      </c>
      <c r="AE36" s="4">
        <v>120</v>
      </c>
      <c r="AF36" s="59"/>
      <c r="AG36" s="60"/>
      <c r="AH36" s="34"/>
      <c r="AI36" s="35"/>
    </row>
    <row r="37" spans="1:35" ht="112">
      <c r="A37" s="4">
        <v>16</v>
      </c>
      <c r="B37" s="4" t="s">
        <v>435</v>
      </c>
      <c r="C37" s="4" t="s">
        <v>436</v>
      </c>
      <c r="D37" s="4" t="s">
        <v>288</v>
      </c>
      <c r="E37" s="4" t="s">
        <v>289</v>
      </c>
      <c r="F37" s="43" t="s">
        <v>437</v>
      </c>
      <c r="G37" s="27">
        <v>15</v>
      </c>
      <c r="H37" s="4">
        <v>2</v>
      </c>
      <c r="I37" s="4" t="s">
        <v>386</v>
      </c>
      <c r="J37" s="8"/>
      <c r="K37" s="8"/>
      <c r="L37" s="4">
        <v>1</v>
      </c>
      <c r="M37" s="8"/>
      <c r="N37" s="8"/>
      <c r="O37" s="61" t="s">
        <v>387</v>
      </c>
      <c r="P37" s="63">
        <v>43466</v>
      </c>
      <c r="Q37" s="63">
        <v>45646</v>
      </c>
      <c r="R37" s="64">
        <v>0</v>
      </c>
      <c r="S37" s="65"/>
      <c r="T37" s="64"/>
      <c r="U37" s="18" t="s">
        <v>90</v>
      </c>
      <c r="V37" s="4">
        <v>0</v>
      </c>
      <c r="W37" s="4">
        <v>0</v>
      </c>
      <c r="X37" s="4">
        <v>0</v>
      </c>
      <c r="Y37" s="4">
        <v>0</v>
      </c>
      <c r="Z37" s="4">
        <v>0</v>
      </c>
      <c r="AA37" s="21">
        <v>0</v>
      </c>
      <c r="AB37" s="32"/>
      <c r="AC37" s="8"/>
      <c r="AD37" s="8"/>
      <c r="AE37" s="8"/>
      <c r="AF37" s="59"/>
      <c r="AG37" s="60"/>
      <c r="AH37" s="34"/>
      <c r="AI37" s="35"/>
    </row>
    <row r="38" spans="1:35" ht="84">
      <c r="A38" s="4">
        <v>17</v>
      </c>
      <c r="B38" s="4" t="s">
        <v>440</v>
      </c>
      <c r="C38" s="4" t="s">
        <v>441</v>
      </c>
      <c r="D38" s="4" t="s">
        <v>288</v>
      </c>
      <c r="E38" s="4" t="s">
        <v>289</v>
      </c>
      <c r="F38" s="43" t="s">
        <v>442</v>
      </c>
      <c r="G38" s="27">
        <v>15</v>
      </c>
      <c r="H38" s="4">
        <v>2</v>
      </c>
      <c r="I38" s="4" t="s">
        <v>386</v>
      </c>
      <c r="J38" s="8"/>
      <c r="K38" s="8"/>
      <c r="L38" s="4">
        <v>1</v>
      </c>
      <c r="M38" s="8"/>
      <c r="N38" s="8"/>
      <c r="O38" s="61" t="s">
        <v>387</v>
      </c>
      <c r="P38" s="63">
        <v>43466</v>
      </c>
      <c r="Q38" s="63">
        <v>43819</v>
      </c>
      <c r="R38" s="64">
        <v>0</v>
      </c>
      <c r="S38" s="65"/>
      <c r="T38" s="64"/>
      <c r="U38" s="18" t="s">
        <v>90</v>
      </c>
      <c r="V38" s="4">
        <v>0</v>
      </c>
      <c r="W38" s="4">
        <v>0</v>
      </c>
      <c r="X38" s="4">
        <v>0</v>
      </c>
      <c r="Y38" s="4">
        <v>0</v>
      </c>
      <c r="Z38" s="4">
        <v>0</v>
      </c>
      <c r="AA38" s="21">
        <v>0</v>
      </c>
      <c r="AB38" s="32"/>
      <c r="AC38" s="8"/>
      <c r="AD38" s="8"/>
      <c r="AE38" s="8"/>
      <c r="AF38" s="59"/>
      <c r="AG38" s="60"/>
      <c r="AH38" s="34"/>
      <c r="AI38" s="35"/>
    </row>
    <row r="39" spans="1:35" ht="84">
      <c r="A39" s="4">
        <v>18</v>
      </c>
      <c r="B39" s="66" t="s">
        <v>443</v>
      </c>
      <c r="C39" s="4" t="s">
        <v>444</v>
      </c>
      <c r="D39" s="4" t="s">
        <v>288</v>
      </c>
      <c r="E39" s="4" t="s">
        <v>289</v>
      </c>
      <c r="F39" s="43" t="s">
        <v>445</v>
      </c>
      <c r="G39" s="27">
        <v>15</v>
      </c>
      <c r="H39" s="4">
        <v>2</v>
      </c>
      <c r="I39" s="4" t="s">
        <v>386</v>
      </c>
      <c r="J39" s="8"/>
      <c r="K39" s="8"/>
      <c r="L39" s="4">
        <v>1</v>
      </c>
      <c r="M39" s="8"/>
      <c r="N39" s="8"/>
      <c r="O39" s="61" t="s">
        <v>387</v>
      </c>
      <c r="P39" s="63">
        <v>43466</v>
      </c>
      <c r="Q39" s="63">
        <v>45646</v>
      </c>
      <c r="R39" s="64">
        <v>0</v>
      </c>
      <c r="S39" s="65"/>
      <c r="T39" s="64"/>
      <c r="U39" s="18" t="s">
        <v>96</v>
      </c>
      <c r="V39" s="4">
        <v>0</v>
      </c>
      <c r="W39" s="4">
        <v>0</v>
      </c>
      <c r="X39" s="4">
        <v>0</v>
      </c>
      <c r="Y39" s="4">
        <v>0</v>
      </c>
      <c r="Z39" s="4">
        <v>0</v>
      </c>
      <c r="AA39" s="21">
        <v>0</v>
      </c>
      <c r="AB39" s="32"/>
      <c r="AC39" s="8"/>
      <c r="AD39" s="8"/>
      <c r="AE39" s="8"/>
      <c r="AF39" s="59"/>
      <c r="AG39" s="60"/>
      <c r="AH39" s="34"/>
      <c r="AI39" s="35"/>
    </row>
    <row r="40" spans="1:35" ht="112">
      <c r="A40" s="4">
        <v>19</v>
      </c>
      <c r="B40" s="25" t="s">
        <v>446</v>
      </c>
      <c r="C40" s="4" t="s">
        <v>447</v>
      </c>
      <c r="D40" s="4" t="s">
        <v>288</v>
      </c>
      <c r="E40" s="4" t="s">
        <v>289</v>
      </c>
      <c r="F40" s="43" t="s">
        <v>448</v>
      </c>
      <c r="G40" s="27">
        <v>15</v>
      </c>
      <c r="H40" s="4">
        <v>2</v>
      </c>
      <c r="I40" s="4" t="s">
        <v>386</v>
      </c>
      <c r="J40" s="8"/>
      <c r="K40" s="8"/>
      <c r="L40" s="4">
        <v>1</v>
      </c>
      <c r="M40" s="8"/>
      <c r="N40" s="8"/>
      <c r="O40" s="61" t="s">
        <v>387</v>
      </c>
      <c r="P40" s="63">
        <v>43466</v>
      </c>
      <c r="Q40" s="63">
        <v>45646</v>
      </c>
      <c r="R40" s="64">
        <v>3430.15</v>
      </c>
      <c r="S40" s="65"/>
      <c r="T40" s="64"/>
      <c r="U40" s="18" t="s">
        <v>90</v>
      </c>
      <c r="V40" s="4">
        <v>207.73</v>
      </c>
      <c r="W40" s="4">
        <v>644.48</v>
      </c>
      <c r="X40" s="4">
        <v>644.48</v>
      </c>
      <c r="Y40" s="4">
        <v>644.48</v>
      </c>
      <c r="Z40" s="4">
        <v>644.48</v>
      </c>
      <c r="AA40" s="21">
        <v>644.48</v>
      </c>
      <c r="AB40" s="22">
        <v>885.2</v>
      </c>
      <c r="AC40" s="4">
        <v>644.48</v>
      </c>
      <c r="AD40" s="4">
        <v>644.48</v>
      </c>
      <c r="AE40" s="4">
        <v>644.48</v>
      </c>
      <c r="AF40" s="59"/>
      <c r="AG40" s="60"/>
      <c r="AH40" s="34"/>
      <c r="AI40" s="35"/>
    </row>
    <row r="41" spans="1:35" ht="140">
      <c r="A41" s="4">
        <v>20</v>
      </c>
      <c r="B41" s="25" t="s">
        <v>449</v>
      </c>
      <c r="C41" s="4" t="s">
        <v>450</v>
      </c>
      <c r="D41" s="4" t="s">
        <v>288</v>
      </c>
      <c r="E41" s="4" t="s">
        <v>289</v>
      </c>
      <c r="F41" s="43" t="s">
        <v>453</v>
      </c>
      <c r="G41" s="27">
        <v>15</v>
      </c>
      <c r="H41" s="4">
        <v>2</v>
      </c>
      <c r="I41" s="4" t="s">
        <v>386</v>
      </c>
      <c r="J41" s="8"/>
      <c r="K41" s="8"/>
      <c r="L41" s="4">
        <v>1</v>
      </c>
      <c r="M41" s="8"/>
      <c r="N41" s="8"/>
      <c r="O41" s="61" t="s">
        <v>387</v>
      </c>
      <c r="P41" s="63">
        <v>43466</v>
      </c>
      <c r="Q41" s="63">
        <v>45646</v>
      </c>
      <c r="R41" s="64">
        <v>8034.32</v>
      </c>
      <c r="S41" s="65"/>
      <c r="T41" s="64"/>
      <c r="U41" s="18" t="s">
        <v>90</v>
      </c>
      <c r="V41" s="4">
        <v>2678.5</v>
      </c>
      <c r="W41" s="4">
        <v>1280.4000000000001</v>
      </c>
      <c r="X41" s="4">
        <v>808.9</v>
      </c>
      <c r="Y41" s="4">
        <v>1055.52</v>
      </c>
      <c r="Z41" s="4">
        <v>1255.52</v>
      </c>
      <c r="AA41" s="21">
        <v>955.49</v>
      </c>
      <c r="AB41" s="22">
        <v>4474.5</v>
      </c>
      <c r="AC41" s="4">
        <v>1280.4000000000001</v>
      </c>
      <c r="AD41" s="4">
        <v>808.9</v>
      </c>
      <c r="AE41" s="4">
        <v>1055.52</v>
      </c>
      <c r="AF41" s="67"/>
      <c r="AG41" s="60"/>
      <c r="AH41" s="34"/>
      <c r="AI41" s="35"/>
    </row>
    <row r="42" spans="1:35" ht="154">
      <c r="A42" s="4">
        <v>21</v>
      </c>
      <c r="B42" s="68" t="s">
        <v>454</v>
      </c>
      <c r="C42" s="4" t="s">
        <v>455</v>
      </c>
      <c r="D42" s="4" t="s">
        <v>288</v>
      </c>
      <c r="E42" s="4" t="s">
        <v>289</v>
      </c>
      <c r="F42" s="43" t="s">
        <v>357</v>
      </c>
      <c r="G42" s="40"/>
      <c r="H42" s="8"/>
      <c r="I42" s="8"/>
      <c r="J42" s="8"/>
      <c r="K42" s="8"/>
      <c r="L42" s="4">
        <v>1</v>
      </c>
      <c r="M42" s="8"/>
      <c r="N42" s="8"/>
      <c r="O42" s="61" t="s">
        <v>387</v>
      </c>
      <c r="P42" s="63">
        <v>43466</v>
      </c>
      <c r="Q42" s="63">
        <v>45646</v>
      </c>
      <c r="R42" s="64">
        <v>2522.83</v>
      </c>
      <c r="S42" s="65"/>
      <c r="T42" s="64"/>
      <c r="U42" s="18" t="s">
        <v>90</v>
      </c>
      <c r="V42" s="4">
        <v>26.33</v>
      </c>
      <c r="W42" s="4">
        <v>158.5</v>
      </c>
      <c r="X42" s="4">
        <v>0</v>
      </c>
      <c r="Y42" s="4">
        <v>1388</v>
      </c>
      <c r="Z42" s="4">
        <v>1000</v>
      </c>
      <c r="AA42" s="21">
        <v>0</v>
      </c>
      <c r="AB42" s="32"/>
      <c r="AC42" s="8"/>
      <c r="AD42" s="8"/>
      <c r="AE42" s="8"/>
      <c r="AF42" s="59"/>
      <c r="AG42" s="60"/>
      <c r="AH42" s="34"/>
      <c r="AI42" s="35"/>
    </row>
    <row r="43" spans="1:35" ht="56">
      <c r="A43" s="4">
        <v>22</v>
      </c>
      <c r="B43" s="68" t="s">
        <v>456</v>
      </c>
      <c r="C43" s="4" t="s">
        <v>457</v>
      </c>
      <c r="D43" s="4" t="s">
        <v>288</v>
      </c>
      <c r="E43" s="4" t="s">
        <v>289</v>
      </c>
      <c r="F43" s="43" t="s">
        <v>360</v>
      </c>
      <c r="G43" s="40"/>
      <c r="H43" s="8"/>
      <c r="I43" s="8"/>
      <c r="J43" s="8"/>
      <c r="K43" s="8"/>
      <c r="L43" s="4">
        <v>1</v>
      </c>
      <c r="M43" s="8"/>
      <c r="N43" s="8"/>
      <c r="O43" s="8"/>
      <c r="P43" s="63">
        <v>43466</v>
      </c>
      <c r="Q43" s="63">
        <v>45646</v>
      </c>
      <c r="R43" s="64">
        <v>240</v>
      </c>
      <c r="S43" s="65"/>
      <c r="T43" s="64"/>
      <c r="U43" s="18" t="s">
        <v>90</v>
      </c>
      <c r="V43" s="4">
        <v>0</v>
      </c>
      <c r="W43" s="4">
        <v>10</v>
      </c>
      <c r="X43" s="4">
        <v>0</v>
      </c>
      <c r="Y43" s="4">
        <v>153</v>
      </c>
      <c r="Z43" s="4">
        <v>77</v>
      </c>
      <c r="AA43" s="21">
        <v>0</v>
      </c>
      <c r="AB43" s="22">
        <v>25</v>
      </c>
      <c r="AC43" s="4">
        <v>10</v>
      </c>
      <c r="AD43" s="4">
        <v>0</v>
      </c>
      <c r="AE43" s="4">
        <v>153</v>
      </c>
      <c r="AF43" s="59"/>
      <c r="AG43" s="60"/>
      <c r="AH43" s="34"/>
      <c r="AI43" s="35"/>
    </row>
    <row r="44" spans="1:35" ht="84">
      <c r="A44" s="4">
        <v>23</v>
      </c>
      <c r="B44" s="25" t="s">
        <v>458</v>
      </c>
      <c r="C44" s="4" t="s">
        <v>459</v>
      </c>
      <c r="D44" s="4" t="s">
        <v>288</v>
      </c>
      <c r="E44" s="4" t="s">
        <v>289</v>
      </c>
      <c r="F44" s="43" t="s">
        <v>365</v>
      </c>
      <c r="G44" s="40"/>
      <c r="H44" s="8"/>
      <c r="I44" s="8"/>
      <c r="J44" s="8"/>
      <c r="K44" s="8"/>
      <c r="L44" s="4">
        <v>1</v>
      </c>
      <c r="M44" s="8"/>
      <c r="N44" s="8"/>
      <c r="O44" s="8"/>
      <c r="P44" s="63">
        <v>43466</v>
      </c>
      <c r="Q44" s="63">
        <v>45646</v>
      </c>
      <c r="R44" s="64">
        <v>233.42</v>
      </c>
      <c r="S44" s="65"/>
      <c r="T44" s="64"/>
      <c r="U44" s="18" t="s">
        <v>90</v>
      </c>
      <c r="V44" s="4">
        <v>9.92</v>
      </c>
      <c r="W44" s="4">
        <v>13.5</v>
      </c>
      <c r="X44" s="4">
        <v>0</v>
      </c>
      <c r="Y44" s="4">
        <v>144</v>
      </c>
      <c r="Z44" s="4">
        <v>66</v>
      </c>
      <c r="AA44" s="21">
        <v>0</v>
      </c>
      <c r="AB44" s="22">
        <v>30</v>
      </c>
      <c r="AC44" s="4">
        <v>13.5</v>
      </c>
      <c r="AD44" s="4">
        <v>0</v>
      </c>
      <c r="AE44" s="4">
        <v>144</v>
      </c>
      <c r="AF44" s="59"/>
      <c r="AG44" s="60"/>
      <c r="AH44" s="34"/>
      <c r="AI44" s="35"/>
    </row>
    <row r="45" spans="1:35" ht="42">
      <c r="A45" s="4">
        <v>24</v>
      </c>
      <c r="B45" s="4" t="s">
        <v>462</v>
      </c>
      <c r="C45" s="4" t="s">
        <v>463</v>
      </c>
      <c r="D45" s="4" t="s">
        <v>288</v>
      </c>
      <c r="E45" s="4" t="s">
        <v>289</v>
      </c>
      <c r="F45" s="43" t="s">
        <v>368</v>
      </c>
      <c r="G45" s="40"/>
      <c r="H45" s="8"/>
      <c r="I45" s="8"/>
      <c r="J45" s="8"/>
      <c r="K45" s="8"/>
      <c r="L45" s="4">
        <v>1</v>
      </c>
      <c r="M45" s="8"/>
      <c r="N45" s="8"/>
      <c r="O45" s="8"/>
      <c r="P45" s="63">
        <v>43466</v>
      </c>
      <c r="Q45" s="63">
        <v>44002</v>
      </c>
      <c r="R45" s="64">
        <v>0</v>
      </c>
      <c r="S45" s="65"/>
      <c r="T45" s="64"/>
      <c r="U45" s="18" t="s">
        <v>90</v>
      </c>
      <c r="V45" s="4">
        <v>0</v>
      </c>
      <c r="W45" s="4">
        <v>0</v>
      </c>
      <c r="X45" s="4">
        <v>0</v>
      </c>
      <c r="Y45" s="4">
        <v>0</v>
      </c>
      <c r="Z45" s="4">
        <v>0</v>
      </c>
      <c r="AA45" s="21">
        <v>0</v>
      </c>
      <c r="AB45" s="32"/>
      <c r="AC45" s="8"/>
      <c r="AD45" s="8"/>
      <c r="AE45" s="8"/>
      <c r="AF45" s="59"/>
      <c r="AG45" s="60"/>
      <c r="AH45" s="34"/>
      <c r="AI45" s="35"/>
    </row>
    <row r="46" spans="1:35" ht="42">
      <c r="A46" s="4">
        <v>25</v>
      </c>
      <c r="B46" s="4" t="s">
        <v>464</v>
      </c>
      <c r="C46" s="4" t="s">
        <v>465</v>
      </c>
      <c r="D46" s="4" t="s">
        <v>288</v>
      </c>
      <c r="E46" s="4" t="s">
        <v>289</v>
      </c>
      <c r="F46" s="43" t="s">
        <v>466</v>
      </c>
      <c r="G46" s="40"/>
      <c r="H46" s="8"/>
      <c r="I46" s="8"/>
      <c r="J46" s="8"/>
      <c r="K46" s="8"/>
      <c r="L46" s="4">
        <v>1</v>
      </c>
      <c r="M46" s="8"/>
      <c r="N46" s="8"/>
      <c r="O46" s="8"/>
      <c r="P46" s="69">
        <v>43466</v>
      </c>
      <c r="Q46" s="70">
        <v>43830</v>
      </c>
      <c r="R46" s="64">
        <v>0</v>
      </c>
      <c r="S46" s="65"/>
      <c r="T46" s="64"/>
      <c r="U46" s="18" t="s">
        <v>90</v>
      </c>
      <c r="V46" s="4">
        <v>0</v>
      </c>
      <c r="W46" s="4">
        <v>0</v>
      </c>
      <c r="X46" s="4">
        <v>0</v>
      </c>
      <c r="Y46" s="4">
        <v>0</v>
      </c>
      <c r="Z46" s="4">
        <v>0</v>
      </c>
      <c r="AA46" s="21">
        <v>0</v>
      </c>
      <c r="AB46" s="32"/>
      <c r="AC46" s="8"/>
      <c r="AD46" s="8"/>
      <c r="AE46" s="8"/>
      <c r="AF46" s="59"/>
      <c r="AG46" s="60"/>
      <c r="AH46" s="34"/>
      <c r="AI46" s="35"/>
    </row>
    <row r="47" spans="1:35" ht="42">
      <c r="A47" s="4">
        <v>26</v>
      </c>
      <c r="B47" s="25" t="s">
        <v>469</v>
      </c>
      <c r="C47" s="4" t="s">
        <v>470</v>
      </c>
      <c r="D47" s="4" t="s">
        <v>288</v>
      </c>
      <c r="E47" s="4" t="s">
        <v>289</v>
      </c>
      <c r="F47" s="43" t="s">
        <v>471</v>
      </c>
      <c r="G47" s="27">
        <v>15</v>
      </c>
      <c r="H47" s="4">
        <v>2</v>
      </c>
      <c r="I47" s="4" t="s">
        <v>386</v>
      </c>
      <c r="J47" s="8"/>
      <c r="K47" s="8"/>
      <c r="L47" s="4">
        <v>1</v>
      </c>
      <c r="M47" s="8"/>
      <c r="N47" s="8"/>
      <c r="O47" s="8"/>
      <c r="P47" s="63">
        <v>43466</v>
      </c>
      <c r="Q47" s="63">
        <v>45646</v>
      </c>
      <c r="R47" s="64">
        <v>8331.2999999999993</v>
      </c>
      <c r="S47" s="65"/>
      <c r="T47" s="64"/>
      <c r="U47" s="18" t="s">
        <v>96</v>
      </c>
      <c r="V47" s="4">
        <v>0</v>
      </c>
      <c r="W47" s="4">
        <v>1010.5</v>
      </c>
      <c r="X47" s="4">
        <v>0</v>
      </c>
      <c r="Y47" s="4">
        <v>3507.5</v>
      </c>
      <c r="Z47" s="4">
        <v>3813.3</v>
      </c>
      <c r="AA47" s="21">
        <v>0</v>
      </c>
      <c r="AB47" s="22">
        <v>0</v>
      </c>
      <c r="AC47" s="4">
        <v>1010.5</v>
      </c>
      <c r="AD47" s="4">
        <v>0</v>
      </c>
      <c r="AE47" s="4">
        <v>3507.5</v>
      </c>
      <c r="AF47" s="59"/>
      <c r="AG47" s="60"/>
      <c r="AH47" s="34"/>
      <c r="AI47" s="35"/>
    </row>
    <row r="48" spans="1:35" ht="112">
      <c r="A48" s="4">
        <v>27</v>
      </c>
      <c r="B48" s="4" t="s">
        <v>472</v>
      </c>
      <c r="C48" s="4" t="s">
        <v>473</v>
      </c>
      <c r="D48" s="4" t="s">
        <v>288</v>
      </c>
      <c r="E48" s="4" t="s">
        <v>289</v>
      </c>
      <c r="F48" s="43" t="s">
        <v>474</v>
      </c>
      <c r="G48" s="40"/>
      <c r="H48" s="8"/>
      <c r="I48" s="8"/>
      <c r="J48" s="8"/>
      <c r="K48" s="8"/>
      <c r="L48" s="4">
        <v>1</v>
      </c>
      <c r="M48" s="8"/>
      <c r="N48" s="8"/>
      <c r="O48" s="8"/>
      <c r="P48" s="63">
        <v>43466</v>
      </c>
      <c r="Q48" s="63">
        <v>43819</v>
      </c>
      <c r="R48" s="64">
        <v>0</v>
      </c>
      <c r="S48" s="65"/>
      <c r="T48" s="64"/>
      <c r="U48" s="18" t="s">
        <v>90</v>
      </c>
      <c r="V48" s="4">
        <v>0</v>
      </c>
      <c r="W48" s="4">
        <v>0</v>
      </c>
      <c r="X48" s="4">
        <v>0</v>
      </c>
      <c r="Y48" s="4">
        <v>0</v>
      </c>
      <c r="Z48" s="4">
        <v>0</v>
      </c>
      <c r="AA48" s="21">
        <v>0</v>
      </c>
      <c r="AB48" s="32"/>
      <c r="AC48" s="8"/>
      <c r="AD48" s="8"/>
      <c r="AE48" s="8"/>
      <c r="AF48" s="59"/>
      <c r="AG48" s="60"/>
      <c r="AH48" s="34"/>
      <c r="AI48" s="35"/>
    </row>
    <row r="49" spans="1:35" ht="98">
      <c r="A49" s="4">
        <v>28</v>
      </c>
      <c r="B49" s="25" t="s">
        <v>475</v>
      </c>
      <c r="C49" s="4" t="s">
        <v>476</v>
      </c>
      <c r="D49" s="4" t="s">
        <v>288</v>
      </c>
      <c r="E49" s="4" t="s">
        <v>289</v>
      </c>
      <c r="F49" s="43" t="s">
        <v>477</v>
      </c>
      <c r="G49" s="27">
        <v>15</v>
      </c>
      <c r="H49" s="4">
        <v>2</v>
      </c>
      <c r="I49" s="4" t="s">
        <v>478</v>
      </c>
      <c r="J49" s="8"/>
      <c r="K49" s="8"/>
      <c r="L49" s="4">
        <v>1</v>
      </c>
      <c r="M49" s="8"/>
      <c r="N49" s="8"/>
      <c r="O49" s="8"/>
      <c r="P49" s="63">
        <v>43466</v>
      </c>
      <c r="Q49" s="63">
        <v>45646</v>
      </c>
      <c r="R49" s="64">
        <v>24637.599999999999</v>
      </c>
      <c r="S49" s="65"/>
      <c r="T49" s="64"/>
      <c r="U49" s="18" t="s">
        <v>96</v>
      </c>
      <c r="V49" s="4">
        <v>9993.9699999999993</v>
      </c>
      <c r="W49" s="4">
        <v>1809.58</v>
      </c>
      <c r="X49" s="4">
        <v>720</v>
      </c>
      <c r="Y49" s="4">
        <v>5860.8</v>
      </c>
      <c r="Z49" s="4">
        <v>5400</v>
      </c>
      <c r="AA49" s="21">
        <v>853.26</v>
      </c>
      <c r="AB49" s="32"/>
      <c r="AC49" s="8"/>
      <c r="AD49" s="8"/>
      <c r="AE49" s="8"/>
      <c r="AF49" s="59"/>
      <c r="AG49" s="60"/>
      <c r="AH49" s="34"/>
      <c r="AI49" s="35"/>
    </row>
    <row r="50" spans="1:35" ht="56">
      <c r="A50" s="4">
        <v>29</v>
      </c>
      <c r="B50" s="4" t="s">
        <v>479</v>
      </c>
      <c r="C50" s="4" t="s">
        <v>480</v>
      </c>
      <c r="D50" s="4" t="s">
        <v>288</v>
      </c>
      <c r="E50" s="4" t="s">
        <v>289</v>
      </c>
      <c r="F50" s="43" t="s">
        <v>483</v>
      </c>
      <c r="G50" s="27">
        <v>15</v>
      </c>
      <c r="H50" s="4">
        <v>2</v>
      </c>
      <c r="I50" s="4" t="s">
        <v>386</v>
      </c>
      <c r="J50" s="8"/>
      <c r="K50" s="8"/>
      <c r="L50" s="4">
        <v>1</v>
      </c>
      <c r="M50" s="8"/>
      <c r="N50" s="8"/>
      <c r="O50" s="8"/>
      <c r="P50" s="63">
        <v>43466</v>
      </c>
      <c r="Q50" s="63">
        <v>45646</v>
      </c>
      <c r="R50" s="64">
        <v>0</v>
      </c>
      <c r="S50" s="65"/>
      <c r="T50" s="64"/>
      <c r="U50" s="18" t="s">
        <v>96</v>
      </c>
      <c r="V50" s="4">
        <v>0</v>
      </c>
      <c r="W50" s="4">
        <v>0</v>
      </c>
      <c r="X50" s="4">
        <v>0</v>
      </c>
      <c r="Y50" s="4">
        <v>0</v>
      </c>
      <c r="Z50" s="4">
        <v>0</v>
      </c>
      <c r="AA50" s="21">
        <v>0</v>
      </c>
      <c r="AB50" s="32"/>
      <c r="AC50" s="8"/>
      <c r="AD50" s="8"/>
      <c r="AE50" s="8"/>
      <c r="AF50" s="59"/>
      <c r="AG50" s="60"/>
      <c r="AH50" s="34"/>
      <c r="AI50" s="35"/>
    </row>
    <row r="51" spans="1:35" ht="42">
      <c r="A51" s="4">
        <v>30</v>
      </c>
      <c r="B51" s="4" t="s">
        <v>484</v>
      </c>
      <c r="C51" s="4" t="s">
        <v>485</v>
      </c>
      <c r="D51" s="4" t="s">
        <v>288</v>
      </c>
      <c r="E51" s="4" t="s">
        <v>289</v>
      </c>
      <c r="F51" s="43" t="s">
        <v>486</v>
      </c>
      <c r="G51" s="40"/>
      <c r="H51" s="8"/>
      <c r="I51" s="8"/>
      <c r="J51" s="8"/>
      <c r="K51" s="8"/>
      <c r="L51" s="4">
        <v>1</v>
      </c>
      <c r="M51" s="8"/>
      <c r="N51" s="8"/>
      <c r="O51" s="8"/>
      <c r="P51" s="63">
        <v>43466</v>
      </c>
      <c r="Q51" s="63">
        <v>43819</v>
      </c>
      <c r="R51" s="64">
        <v>0</v>
      </c>
      <c r="S51" s="65"/>
      <c r="T51" s="64"/>
      <c r="U51" s="18" t="s">
        <v>90</v>
      </c>
      <c r="V51" s="4">
        <v>0</v>
      </c>
      <c r="W51" s="4">
        <v>0</v>
      </c>
      <c r="X51" s="4">
        <v>0</v>
      </c>
      <c r="Y51" s="4">
        <v>0</v>
      </c>
      <c r="Z51" s="4">
        <v>0</v>
      </c>
      <c r="AA51" s="21">
        <v>0</v>
      </c>
      <c r="AB51" s="32"/>
      <c r="AC51" s="8"/>
      <c r="AD51" s="8"/>
      <c r="AE51" s="8"/>
      <c r="AF51" s="59"/>
      <c r="AG51" s="60"/>
      <c r="AH51" s="34"/>
      <c r="AI51" s="35"/>
    </row>
    <row r="52" spans="1:35" ht="140">
      <c r="A52" s="18">
        <v>31</v>
      </c>
      <c r="B52" s="4" t="s">
        <v>487</v>
      </c>
      <c r="C52" s="4" t="s">
        <v>488</v>
      </c>
      <c r="D52" s="4" t="s">
        <v>288</v>
      </c>
      <c r="E52" s="4" t="s">
        <v>289</v>
      </c>
      <c r="F52" s="43" t="s">
        <v>489</v>
      </c>
      <c r="G52" s="40"/>
      <c r="H52" s="8"/>
      <c r="I52" s="8"/>
      <c r="J52" s="65"/>
      <c r="K52" s="65"/>
      <c r="L52" s="18">
        <v>1</v>
      </c>
      <c r="M52" s="65"/>
      <c r="N52" s="65"/>
      <c r="O52" s="65"/>
      <c r="P52" s="63">
        <v>43466</v>
      </c>
      <c r="Q52" s="63">
        <v>45107</v>
      </c>
      <c r="R52" s="71"/>
      <c r="S52" s="65"/>
      <c r="T52" s="71"/>
      <c r="U52" s="18" t="s">
        <v>90</v>
      </c>
      <c r="V52" s="4">
        <v>0</v>
      </c>
      <c r="W52" s="4">
        <v>0</v>
      </c>
      <c r="X52" s="4">
        <v>0</v>
      </c>
      <c r="Y52" s="4">
        <v>0</v>
      </c>
      <c r="Z52" s="4">
        <v>0</v>
      </c>
      <c r="AA52" s="21">
        <v>0</v>
      </c>
      <c r="AB52" s="32"/>
      <c r="AC52" s="8"/>
      <c r="AD52" s="8"/>
      <c r="AE52" s="8"/>
      <c r="AF52" s="59"/>
      <c r="AG52" s="60"/>
      <c r="AH52" s="34"/>
      <c r="AI52" s="35"/>
    </row>
    <row r="53" spans="1:35" ht="42">
      <c r="A53" s="18">
        <v>32</v>
      </c>
      <c r="B53" s="4" t="s">
        <v>492</v>
      </c>
      <c r="C53" s="4" t="s">
        <v>493</v>
      </c>
      <c r="D53" s="4" t="s">
        <v>288</v>
      </c>
      <c r="E53" s="4" t="s">
        <v>289</v>
      </c>
      <c r="F53" s="43" t="s">
        <v>494</v>
      </c>
      <c r="G53" s="40"/>
      <c r="H53" s="8"/>
      <c r="I53" s="8"/>
      <c r="J53" s="65"/>
      <c r="K53" s="65"/>
      <c r="L53" s="18">
        <v>1</v>
      </c>
      <c r="M53" s="65"/>
      <c r="N53" s="65"/>
      <c r="O53" s="65"/>
      <c r="P53" s="63">
        <v>43466</v>
      </c>
      <c r="Q53" s="63">
        <v>45646</v>
      </c>
      <c r="R53" s="71"/>
      <c r="S53" s="65"/>
      <c r="T53" s="71"/>
      <c r="U53" s="18" t="s">
        <v>90</v>
      </c>
      <c r="V53" s="4">
        <v>0</v>
      </c>
      <c r="W53" s="4">
        <v>0</v>
      </c>
      <c r="X53" s="4">
        <v>0</v>
      </c>
      <c r="Y53" s="4">
        <v>0</v>
      </c>
      <c r="Z53" s="4">
        <v>0</v>
      </c>
      <c r="AA53" s="21">
        <v>0</v>
      </c>
      <c r="AB53" s="32"/>
      <c r="AC53" s="8"/>
      <c r="AD53" s="8"/>
      <c r="AE53" s="8"/>
      <c r="AF53" s="59"/>
      <c r="AG53" s="60"/>
      <c r="AH53" s="34"/>
      <c r="AI53" s="35"/>
    </row>
    <row r="54" spans="1:35" ht="28">
      <c r="A54" s="51" t="s">
        <v>495</v>
      </c>
      <c r="B54" s="51" t="s">
        <v>378</v>
      </c>
      <c r="C54" s="38"/>
      <c r="D54" s="38"/>
      <c r="E54" s="38"/>
      <c r="F54" s="39"/>
      <c r="G54" s="40"/>
      <c r="H54" s="38"/>
      <c r="I54" s="38"/>
      <c r="J54" s="38"/>
      <c r="K54" s="38"/>
      <c r="L54" s="36">
        <v>1</v>
      </c>
      <c r="M54" s="38"/>
      <c r="N54" s="38"/>
      <c r="O54" s="38"/>
      <c r="P54" s="41"/>
      <c r="Q54" s="41"/>
      <c r="R54" s="42"/>
      <c r="S54" s="8"/>
      <c r="T54" s="42"/>
      <c r="U54" s="38"/>
      <c r="V54" s="38"/>
      <c r="W54" s="38"/>
      <c r="X54" s="38"/>
      <c r="Y54" s="38"/>
      <c r="Z54" s="38"/>
      <c r="AA54" s="52"/>
      <c r="AB54" s="53"/>
      <c r="AC54" s="38"/>
      <c r="AD54" s="38"/>
      <c r="AE54" s="38"/>
      <c r="AF54" s="38"/>
      <c r="AG54" s="54"/>
      <c r="AH54" s="34"/>
      <c r="AI54" s="35"/>
    </row>
    <row r="55" spans="1:35" ht="14">
      <c r="A55" s="36">
        <v>108</v>
      </c>
      <c r="B55" s="51" t="s">
        <v>496</v>
      </c>
      <c r="C55" s="38"/>
      <c r="D55" s="38"/>
      <c r="E55" s="38"/>
      <c r="F55" s="39"/>
      <c r="G55" s="40"/>
      <c r="H55" s="38"/>
      <c r="I55" s="38"/>
      <c r="J55" s="38"/>
      <c r="K55" s="38"/>
      <c r="L55" s="36">
        <v>1</v>
      </c>
      <c r="M55" s="38"/>
      <c r="N55" s="38"/>
      <c r="O55" s="38"/>
      <c r="P55" s="41"/>
      <c r="Q55" s="41"/>
      <c r="R55" s="42"/>
      <c r="S55" s="8"/>
      <c r="T55" s="42"/>
      <c r="U55" s="38"/>
      <c r="V55" s="8"/>
      <c r="W55" s="8"/>
      <c r="X55" s="8"/>
      <c r="Y55" s="8"/>
      <c r="Z55" s="8"/>
      <c r="AA55" s="31"/>
      <c r="AB55" s="32"/>
      <c r="AC55" s="8"/>
      <c r="AD55" s="8"/>
      <c r="AE55" s="8"/>
      <c r="AF55" s="8"/>
      <c r="AG55" s="33"/>
      <c r="AH55" s="34"/>
      <c r="AI55" s="35"/>
    </row>
    <row r="56" spans="1:35" ht="266">
      <c r="A56" s="4">
        <v>1</v>
      </c>
      <c r="B56" s="14" t="s">
        <v>499</v>
      </c>
      <c r="C56" s="4" t="s">
        <v>500</v>
      </c>
      <c r="D56" s="4" t="s">
        <v>288</v>
      </c>
      <c r="E56" s="4" t="s">
        <v>501</v>
      </c>
      <c r="F56" s="43" t="s">
        <v>502</v>
      </c>
      <c r="G56" s="27">
        <v>15</v>
      </c>
      <c r="H56" s="4">
        <v>2</v>
      </c>
      <c r="I56" s="4" t="s">
        <v>503</v>
      </c>
      <c r="J56" s="4" t="s">
        <v>55</v>
      </c>
      <c r="K56" s="4" t="s">
        <v>504</v>
      </c>
      <c r="L56" s="4">
        <v>1</v>
      </c>
      <c r="M56" s="4">
        <v>0</v>
      </c>
      <c r="N56" s="4">
        <v>0</v>
      </c>
      <c r="O56" s="8"/>
      <c r="P56" s="45">
        <v>43388</v>
      </c>
      <c r="Q56" s="45">
        <v>45646</v>
      </c>
      <c r="R56" s="72" t="s">
        <v>505</v>
      </c>
      <c r="S56" s="8"/>
      <c r="T56" s="72"/>
      <c r="U56" s="4" t="s">
        <v>96</v>
      </c>
      <c r="V56" s="4">
        <v>6851.85</v>
      </c>
      <c r="W56" s="4">
        <v>5217.3999999999996</v>
      </c>
      <c r="X56" s="4">
        <v>2000</v>
      </c>
      <c r="Y56" s="4">
        <v>10228</v>
      </c>
      <c r="Z56" s="4">
        <v>5550</v>
      </c>
      <c r="AA56" s="21">
        <v>0</v>
      </c>
      <c r="AB56" s="32"/>
      <c r="AC56" s="8"/>
      <c r="AD56" s="8"/>
      <c r="AE56" s="8"/>
      <c r="AF56" s="8"/>
      <c r="AG56" s="33"/>
      <c r="AH56" s="34"/>
      <c r="AI56" s="35"/>
    </row>
    <row r="57" spans="1:35" ht="56">
      <c r="A57" s="4">
        <v>2</v>
      </c>
      <c r="B57" s="14" t="s">
        <v>506</v>
      </c>
      <c r="C57" s="4" t="s">
        <v>507</v>
      </c>
      <c r="D57" s="4" t="s">
        <v>288</v>
      </c>
      <c r="E57" s="4" t="s">
        <v>501</v>
      </c>
      <c r="F57" s="43" t="s">
        <v>309</v>
      </c>
      <c r="G57" s="27" t="s">
        <v>508</v>
      </c>
      <c r="H57" s="8"/>
      <c r="I57" s="8"/>
      <c r="J57" s="4" t="s">
        <v>55</v>
      </c>
      <c r="K57" s="4" t="s">
        <v>509</v>
      </c>
      <c r="L57" s="4">
        <v>1</v>
      </c>
      <c r="M57" s="4">
        <v>0</v>
      </c>
      <c r="N57" s="4">
        <v>0</v>
      </c>
      <c r="O57" s="8"/>
      <c r="P57" s="45">
        <v>43388</v>
      </c>
      <c r="Q57" s="45">
        <v>43556</v>
      </c>
      <c r="R57" s="46">
        <v>0</v>
      </c>
      <c r="S57" s="8"/>
      <c r="T57" s="46"/>
      <c r="U57" s="4" t="s">
        <v>90</v>
      </c>
      <c r="V57" s="4" t="s">
        <v>508</v>
      </c>
      <c r="W57" s="4" t="s">
        <v>508</v>
      </c>
      <c r="X57" s="4" t="s">
        <v>508</v>
      </c>
      <c r="Y57" s="4" t="s">
        <v>508</v>
      </c>
      <c r="Z57" s="4" t="s">
        <v>508</v>
      </c>
      <c r="AA57" s="21" t="s">
        <v>508</v>
      </c>
      <c r="AB57" s="32"/>
      <c r="AC57" s="8"/>
      <c r="AD57" s="8"/>
      <c r="AE57" s="8"/>
      <c r="AF57" s="8"/>
      <c r="AG57" s="33"/>
      <c r="AH57" s="34"/>
      <c r="AI57" s="35"/>
    </row>
    <row r="58" spans="1:35" ht="266">
      <c r="A58" s="4">
        <v>3</v>
      </c>
      <c r="B58" s="14" t="s">
        <v>510</v>
      </c>
      <c r="C58" s="4" t="s">
        <v>511</v>
      </c>
      <c r="D58" s="4" t="s">
        <v>288</v>
      </c>
      <c r="E58" s="4" t="s">
        <v>501</v>
      </c>
      <c r="F58" s="43" t="s">
        <v>317</v>
      </c>
      <c r="G58" s="27">
        <v>15</v>
      </c>
      <c r="H58" s="4">
        <v>2</v>
      </c>
      <c r="I58" s="4" t="s">
        <v>503</v>
      </c>
      <c r="J58" s="4" t="s">
        <v>55</v>
      </c>
      <c r="K58" s="4" t="s">
        <v>514</v>
      </c>
      <c r="L58" s="4">
        <v>1</v>
      </c>
      <c r="M58" s="4">
        <v>0</v>
      </c>
      <c r="N58" s="4">
        <v>0</v>
      </c>
      <c r="O58" s="8"/>
      <c r="P58" s="45">
        <v>43388</v>
      </c>
      <c r="Q58" s="45">
        <v>45646</v>
      </c>
      <c r="R58" s="72" t="s">
        <v>515</v>
      </c>
      <c r="S58" s="8"/>
      <c r="T58" s="72"/>
      <c r="U58" s="4" t="s">
        <v>96</v>
      </c>
      <c r="V58" s="4">
        <v>6453.05</v>
      </c>
      <c r="W58" s="4">
        <v>5065.38</v>
      </c>
      <c r="X58" s="4">
        <v>2375.66</v>
      </c>
      <c r="Y58" s="4">
        <v>2209.2600000000002</v>
      </c>
      <c r="Z58" s="4">
        <v>5156.0200000000004</v>
      </c>
      <c r="AA58" s="21">
        <v>2618.52</v>
      </c>
      <c r="AB58" s="32"/>
      <c r="AC58" s="8"/>
      <c r="AD58" s="8"/>
      <c r="AE58" s="8"/>
      <c r="AF58" s="8"/>
      <c r="AG58" s="33"/>
      <c r="AH58" s="34"/>
      <c r="AI58" s="35"/>
    </row>
    <row r="59" spans="1:35" ht="293">
      <c r="A59" s="4">
        <v>4</v>
      </c>
      <c r="B59" s="14" t="s">
        <v>516</v>
      </c>
      <c r="C59" s="4" t="s">
        <v>517</v>
      </c>
      <c r="D59" s="4" t="s">
        <v>288</v>
      </c>
      <c r="E59" s="4" t="s">
        <v>501</v>
      </c>
      <c r="F59" s="43" t="s">
        <v>322</v>
      </c>
      <c r="G59" s="27">
        <v>15</v>
      </c>
      <c r="H59" s="4">
        <v>2</v>
      </c>
      <c r="I59" s="4" t="s">
        <v>503</v>
      </c>
      <c r="J59" s="4" t="s">
        <v>55</v>
      </c>
      <c r="K59" s="4" t="s">
        <v>518</v>
      </c>
      <c r="L59" s="4">
        <v>1</v>
      </c>
      <c r="M59" s="4">
        <v>0</v>
      </c>
      <c r="N59" s="4">
        <v>0</v>
      </c>
      <c r="O59" s="8"/>
      <c r="P59" s="45">
        <v>43388</v>
      </c>
      <c r="Q59" s="45">
        <v>45646</v>
      </c>
      <c r="R59" s="72" t="s">
        <v>519</v>
      </c>
      <c r="S59" s="8"/>
      <c r="T59" s="72"/>
      <c r="U59" s="4" t="s">
        <v>96</v>
      </c>
      <c r="V59" s="4">
        <v>225</v>
      </c>
      <c r="W59" s="4">
        <v>255</v>
      </c>
      <c r="X59" s="4">
        <v>350</v>
      </c>
      <c r="Y59" s="4">
        <v>310</v>
      </c>
      <c r="Z59" s="4">
        <v>280</v>
      </c>
      <c r="AA59" s="21">
        <v>280</v>
      </c>
      <c r="AB59" s="22">
        <v>225</v>
      </c>
      <c r="AC59" s="4">
        <v>255</v>
      </c>
      <c r="AD59" s="4">
        <v>350</v>
      </c>
      <c r="AE59" s="4">
        <v>310</v>
      </c>
      <c r="AF59" s="4" t="s">
        <v>508</v>
      </c>
      <c r="AG59" s="23" t="s">
        <v>508</v>
      </c>
      <c r="AH59" s="34"/>
      <c r="AI59" s="35"/>
    </row>
    <row r="60" spans="1:35" ht="154">
      <c r="A60" s="4">
        <v>5</v>
      </c>
      <c r="B60" s="14" t="s">
        <v>520</v>
      </c>
      <c r="C60" s="4" t="s">
        <v>521</v>
      </c>
      <c r="D60" s="4" t="s">
        <v>288</v>
      </c>
      <c r="E60" s="4" t="s">
        <v>501</v>
      </c>
      <c r="F60" s="43" t="s">
        <v>329</v>
      </c>
      <c r="G60" s="27" t="s">
        <v>508</v>
      </c>
      <c r="H60" s="8"/>
      <c r="I60" s="8"/>
      <c r="J60" s="4" t="s">
        <v>55</v>
      </c>
      <c r="K60" s="4" t="s">
        <v>522</v>
      </c>
      <c r="L60" s="4">
        <v>1</v>
      </c>
      <c r="M60" s="4">
        <v>1</v>
      </c>
      <c r="N60" s="4">
        <v>0</v>
      </c>
      <c r="O60" s="8"/>
      <c r="P60" s="45">
        <v>43388</v>
      </c>
      <c r="Q60" s="45">
        <v>45646</v>
      </c>
      <c r="R60" s="46">
        <v>0</v>
      </c>
      <c r="S60" s="8"/>
      <c r="T60" s="46"/>
      <c r="U60" s="4" t="s">
        <v>96</v>
      </c>
      <c r="V60" s="4" t="s">
        <v>508</v>
      </c>
      <c r="W60" s="4" t="s">
        <v>508</v>
      </c>
      <c r="X60" s="4" t="s">
        <v>508</v>
      </c>
      <c r="Y60" s="4" t="s">
        <v>508</v>
      </c>
      <c r="Z60" s="4" t="s">
        <v>508</v>
      </c>
      <c r="AA60" s="21" t="s">
        <v>508</v>
      </c>
      <c r="AB60" s="32"/>
      <c r="AC60" s="8"/>
      <c r="AD60" s="8"/>
      <c r="AE60" s="8"/>
      <c r="AF60" s="8"/>
      <c r="AG60" s="33"/>
      <c r="AH60" s="34"/>
      <c r="AI60" s="35"/>
    </row>
    <row r="61" spans="1:35" ht="84">
      <c r="A61" s="4">
        <v>6</v>
      </c>
      <c r="B61" s="14" t="s">
        <v>525</v>
      </c>
      <c r="C61" s="4" t="s">
        <v>526</v>
      </c>
      <c r="D61" s="4" t="s">
        <v>288</v>
      </c>
      <c r="E61" s="4" t="s">
        <v>501</v>
      </c>
      <c r="F61" s="43" t="s">
        <v>335</v>
      </c>
      <c r="G61" s="27" t="s">
        <v>508</v>
      </c>
      <c r="H61" s="8"/>
      <c r="I61" s="8"/>
      <c r="J61" s="4" t="s">
        <v>55</v>
      </c>
      <c r="K61" s="4" t="s">
        <v>522</v>
      </c>
      <c r="L61" s="4">
        <v>1</v>
      </c>
      <c r="M61" s="4">
        <v>1</v>
      </c>
      <c r="N61" s="4">
        <v>0</v>
      </c>
      <c r="O61" s="8"/>
      <c r="P61" s="45">
        <v>43388</v>
      </c>
      <c r="Q61" s="45">
        <v>45646</v>
      </c>
      <c r="R61" s="72" t="s">
        <v>527</v>
      </c>
      <c r="S61" s="8"/>
      <c r="T61" s="72"/>
      <c r="U61" s="4" t="s">
        <v>90</v>
      </c>
      <c r="V61" s="4">
        <v>2607.4899999999998</v>
      </c>
      <c r="W61" s="4">
        <v>1152.4000000000001</v>
      </c>
      <c r="X61" s="4">
        <v>1515.56</v>
      </c>
      <c r="Y61" s="4">
        <v>2013.18</v>
      </c>
      <c r="Z61" s="4">
        <v>2010.38</v>
      </c>
      <c r="AA61" s="21">
        <v>1512.88</v>
      </c>
      <c r="AB61" s="32"/>
      <c r="AC61" s="8"/>
      <c r="AD61" s="8"/>
      <c r="AE61" s="8"/>
      <c r="AF61" s="8"/>
      <c r="AG61" s="33"/>
      <c r="AH61" s="34"/>
      <c r="AI61" s="35"/>
    </row>
    <row r="62" spans="1:35" ht="140">
      <c r="A62" s="4">
        <v>7</v>
      </c>
      <c r="B62" s="14" t="s">
        <v>528</v>
      </c>
      <c r="C62" s="4" t="s">
        <v>529</v>
      </c>
      <c r="D62" s="4" t="s">
        <v>288</v>
      </c>
      <c r="E62" s="4" t="s">
        <v>501</v>
      </c>
      <c r="F62" s="43" t="s">
        <v>341</v>
      </c>
      <c r="G62" s="27" t="s">
        <v>508</v>
      </c>
      <c r="H62" s="8"/>
      <c r="I62" s="8"/>
      <c r="J62" s="4" t="s">
        <v>55</v>
      </c>
      <c r="K62" s="4" t="s">
        <v>530</v>
      </c>
      <c r="L62" s="4">
        <v>1</v>
      </c>
      <c r="M62" s="4">
        <v>1</v>
      </c>
      <c r="N62" s="4">
        <v>0</v>
      </c>
      <c r="O62" s="8"/>
      <c r="P62" s="45">
        <v>43388</v>
      </c>
      <c r="Q62" s="45">
        <v>45646</v>
      </c>
      <c r="R62" s="46">
        <v>0</v>
      </c>
      <c r="S62" s="8"/>
      <c r="T62" s="46"/>
      <c r="U62" s="4" t="s">
        <v>96</v>
      </c>
      <c r="V62" s="4" t="s">
        <v>508</v>
      </c>
      <c r="W62" s="4" t="s">
        <v>508</v>
      </c>
      <c r="X62" s="4" t="s">
        <v>508</v>
      </c>
      <c r="Y62" s="4" t="s">
        <v>508</v>
      </c>
      <c r="Z62" s="4" t="s">
        <v>508</v>
      </c>
      <c r="AA62" s="21" t="s">
        <v>508</v>
      </c>
      <c r="AB62" s="32"/>
      <c r="AC62" s="8"/>
      <c r="AD62" s="8"/>
      <c r="AE62" s="8"/>
      <c r="AF62" s="8"/>
      <c r="AG62" s="33"/>
      <c r="AH62" s="34"/>
      <c r="AI62" s="35"/>
    </row>
    <row r="63" spans="1:35" ht="182">
      <c r="A63" s="4">
        <v>8</v>
      </c>
      <c r="B63" s="14" t="s">
        <v>531</v>
      </c>
      <c r="C63" s="4" t="s">
        <v>532</v>
      </c>
      <c r="D63" s="4" t="s">
        <v>288</v>
      </c>
      <c r="E63" s="4" t="s">
        <v>501</v>
      </c>
      <c r="F63" s="43" t="s">
        <v>347</v>
      </c>
      <c r="G63" s="27" t="s">
        <v>508</v>
      </c>
      <c r="H63" s="8"/>
      <c r="I63" s="8"/>
      <c r="J63" s="4" t="s">
        <v>55</v>
      </c>
      <c r="K63" s="4" t="s">
        <v>533</v>
      </c>
      <c r="L63" s="4">
        <v>1</v>
      </c>
      <c r="M63" s="4">
        <v>1</v>
      </c>
      <c r="N63" s="4">
        <v>0</v>
      </c>
      <c r="O63" s="8"/>
      <c r="P63" s="45">
        <v>43388</v>
      </c>
      <c r="Q63" s="45">
        <v>45646</v>
      </c>
      <c r="R63" s="72" t="s">
        <v>534</v>
      </c>
      <c r="S63" s="8"/>
      <c r="T63" s="72"/>
      <c r="U63" s="4" t="s">
        <v>96</v>
      </c>
      <c r="V63" s="4">
        <v>4540</v>
      </c>
      <c r="W63" s="4">
        <v>3586.54</v>
      </c>
      <c r="X63" s="4">
        <v>382.63</v>
      </c>
      <c r="Y63" s="4">
        <v>9062.5</v>
      </c>
      <c r="Z63" s="4">
        <v>8500</v>
      </c>
      <c r="AA63" s="21">
        <v>4754</v>
      </c>
      <c r="AB63" s="32"/>
      <c r="AC63" s="8"/>
      <c r="AD63" s="8"/>
      <c r="AE63" s="8"/>
      <c r="AF63" s="8"/>
      <c r="AG63" s="33"/>
      <c r="AH63" s="34"/>
      <c r="AI63" s="35"/>
    </row>
    <row r="64" spans="1:35" ht="70">
      <c r="A64" s="4">
        <v>9</v>
      </c>
      <c r="B64" s="14" t="s">
        <v>537</v>
      </c>
      <c r="C64" s="4" t="s">
        <v>538</v>
      </c>
      <c r="D64" s="4" t="s">
        <v>288</v>
      </c>
      <c r="E64" s="4" t="s">
        <v>501</v>
      </c>
      <c r="F64" s="43" t="s">
        <v>357</v>
      </c>
      <c r="G64" s="27">
        <v>15</v>
      </c>
      <c r="H64" s="4">
        <v>2</v>
      </c>
      <c r="I64" s="4" t="s">
        <v>503</v>
      </c>
      <c r="J64" s="4" t="s">
        <v>55</v>
      </c>
      <c r="K64" s="4" t="s">
        <v>539</v>
      </c>
      <c r="L64" s="4">
        <v>1</v>
      </c>
      <c r="M64" s="4">
        <v>0</v>
      </c>
      <c r="N64" s="4">
        <v>0</v>
      </c>
      <c r="O64" s="8"/>
      <c r="P64" s="45">
        <v>43388</v>
      </c>
      <c r="Q64" s="45">
        <v>45657</v>
      </c>
      <c r="R64" s="72" t="s">
        <v>540</v>
      </c>
      <c r="S64" s="8"/>
      <c r="T64" s="72"/>
      <c r="U64" s="4" t="s">
        <v>90</v>
      </c>
      <c r="V64" s="4">
        <v>350</v>
      </c>
      <c r="W64" s="4">
        <v>144.80000000000001</v>
      </c>
      <c r="X64" s="4">
        <v>10</v>
      </c>
      <c r="Y64" s="4">
        <v>65.2</v>
      </c>
      <c r="Z64" s="4">
        <v>454.8</v>
      </c>
      <c r="AA64" s="21">
        <v>454.8</v>
      </c>
      <c r="AB64" s="32"/>
      <c r="AC64" s="8"/>
      <c r="AD64" s="8"/>
      <c r="AE64" s="8"/>
      <c r="AF64" s="8"/>
      <c r="AG64" s="33"/>
      <c r="AH64" s="34"/>
      <c r="AI64" s="35"/>
    </row>
    <row r="65" spans="1:35" ht="42">
      <c r="A65" s="4">
        <v>10</v>
      </c>
      <c r="B65" s="14" t="s">
        <v>541</v>
      </c>
      <c r="C65" s="4" t="s">
        <v>542</v>
      </c>
      <c r="D65" s="4" t="s">
        <v>288</v>
      </c>
      <c r="E65" s="4" t="s">
        <v>501</v>
      </c>
      <c r="F65" s="43" t="s">
        <v>360</v>
      </c>
      <c r="G65" s="27" t="s">
        <v>508</v>
      </c>
      <c r="H65" s="8"/>
      <c r="I65" s="8"/>
      <c r="J65" s="4" t="s">
        <v>55</v>
      </c>
      <c r="K65" s="8"/>
      <c r="L65" s="4">
        <v>1</v>
      </c>
      <c r="M65" s="4">
        <v>0</v>
      </c>
      <c r="N65" s="4">
        <v>0</v>
      </c>
      <c r="O65" s="8"/>
      <c r="P65" s="45">
        <v>43388</v>
      </c>
      <c r="Q65" s="45">
        <v>45646</v>
      </c>
      <c r="R65" s="72" t="s">
        <v>543</v>
      </c>
      <c r="S65" s="8"/>
      <c r="T65" s="72"/>
      <c r="U65" s="4" t="s">
        <v>90</v>
      </c>
      <c r="V65" s="4">
        <v>718</v>
      </c>
      <c r="W65" s="4">
        <v>100</v>
      </c>
      <c r="X65" s="4">
        <v>202</v>
      </c>
      <c r="Y65" s="4">
        <v>304</v>
      </c>
      <c r="Z65" s="4">
        <v>202</v>
      </c>
      <c r="AA65" s="21">
        <v>202</v>
      </c>
      <c r="AB65" s="32"/>
      <c r="AC65" s="8"/>
      <c r="AD65" s="8"/>
      <c r="AE65" s="8"/>
      <c r="AF65" s="8"/>
      <c r="AG65" s="33"/>
      <c r="AH65" s="34"/>
      <c r="AI65" s="35"/>
    </row>
    <row r="66" spans="1:35" ht="56">
      <c r="A66" s="4">
        <v>11</v>
      </c>
      <c r="B66" s="14" t="s">
        <v>544</v>
      </c>
      <c r="C66" s="4" t="s">
        <v>545</v>
      </c>
      <c r="D66" s="4" t="s">
        <v>288</v>
      </c>
      <c r="E66" s="4" t="s">
        <v>501</v>
      </c>
      <c r="F66" s="43" t="s">
        <v>365</v>
      </c>
      <c r="G66" s="27" t="s">
        <v>508</v>
      </c>
      <c r="H66" s="8"/>
      <c r="I66" s="8"/>
      <c r="J66" s="4" t="s">
        <v>55</v>
      </c>
      <c r="K66" s="4" t="s">
        <v>546</v>
      </c>
      <c r="L66" s="4">
        <v>1</v>
      </c>
      <c r="M66" s="4">
        <v>1</v>
      </c>
      <c r="N66" s="4">
        <v>0</v>
      </c>
      <c r="O66" s="8"/>
      <c r="P66" s="45">
        <v>43388</v>
      </c>
      <c r="Q66" s="45">
        <v>45646</v>
      </c>
      <c r="R66" s="72" t="s">
        <v>547</v>
      </c>
      <c r="S66" s="8"/>
      <c r="T66" s="72"/>
      <c r="U66" s="4" t="s">
        <v>90</v>
      </c>
      <c r="V66" s="4">
        <v>170</v>
      </c>
      <c r="W66" s="4">
        <v>70</v>
      </c>
      <c r="X66" s="4">
        <v>170</v>
      </c>
      <c r="Y66" s="4">
        <v>270</v>
      </c>
      <c r="Z66" s="4">
        <v>170</v>
      </c>
      <c r="AA66" s="21">
        <v>170</v>
      </c>
      <c r="AB66" s="32"/>
      <c r="AC66" s="8"/>
      <c r="AD66" s="8"/>
      <c r="AE66" s="8"/>
      <c r="AF66" s="8"/>
      <c r="AG66" s="33"/>
      <c r="AH66" s="34"/>
      <c r="AI66" s="35"/>
    </row>
    <row r="67" spans="1:35" ht="112">
      <c r="A67" s="4">
        <v>12</v>
      </c>
      <c r="B67" s="14" t="s">
        <v>550</v>
      </c>
      <c r="C67" s="4" t="s">
        <v>551</v>
      </c>
      <c r="D67" s="4" t="s">
        <v>288</v>
      </c>
      <c r="E67" s="4" t="s">
        <v>501</v>
      </c>
      <c r="F67" s="43" t="s">
        <v>368</v>
      </c>
      <c r="G67" s="27" t="s">
        <v>508</v>
      </c>
      <c r="H67" s="8"/>
      <c r="I67" s="8"/>
      <c r="J67" s="4" t="s">
        <v>55</v>
      </c>
      <c r="K67" s="4" t="s">
        <v>552</v>
      </c>
      <c r="L67" s="4">
        <v>1</v>
      </c>
      <c r="M67" s="4">
        <v>1</v>
      </c>
      <c r="N67" s="4">
        <v>0</v>
      </c>
      <c r="O67" s="8"/>
      <c r="P67" s="45">
        <v>43388</v>
      </c>
      <c r="Q67" s="45">
        <v>44185</v>
      </c>
      <c r="R67" s="72">
        <v>0</v>
      </c>
      <c r="S67" s="8"/>
      <c r="T67" s="72"/>
      <c r="U67" s="4" t="s">
        <v>90</v>
      </c>
      <c r="V67" s="8"/>
      <c r="W67" s="8"/>
      <c r="X67" s="8"/>
      <c r="Y67" s="8"/>
      <c r="Z67" s="8"/>
      <c r="AA67" s="31"/>
      <c r="AB67" s="32"/>
      <c r="AC67" s="8"/>
      <c r="AD67" s="8"/>
      <c r="AE67" s="8"/>
      <c r="AF67" s="8"/>
      <c r="AG67" s="33"/>
      <c r="AH67" s="34"/>
      <c r="AI67" s="35"/>
    </row>
    <row r="68" spans="1:35" ht="70">
      <c r="A68" s="4">
        <v>13</v>
      </c>
      <c r="B68" s="14" t="s">
        <v>553</v>
      </c>
      <c r="C68" s="4" t="s">
        <v>554</v>
      </c>
      <c r="D68" s="4" t="s">
        <v>288</v>
      </c>
      <c r="E68" s="4" t="s">
        <v>501</v>
      </c>
      <c r="F68" s="43" t="s">
        <v>371</v>
      </c>
      <c r="G68" s="27">
        <v>15</v>
      </c>
      <c r="H68" s="8"/>
      <c r="I68" s="4" t="s">
        <v>555</v>
      </c>
      <c r="J68" s="4" t="s">
        <v>55</v>
      </c>
      <c r="K68" s="4" t="s">
        <v>556</v>
      </c>
      <c r="L68" s="4">
        <v>1</v>
      </c>
      <c r="M68" s="4">
        <v>0</v>
      </c>
      <c r="N68" s="4">
        <v>0</v>
      </c>
      <c r="O68" s="8"/>
      <c r="P68" s="45">
        <v>43388</v>
      </c>
      <c r="Q68" s="45">
        <v>43647</v>
      </c>
      <c r="R68" s="46">
        <v>0</v>
      </c>
      <c r="S68" s="8"/>
      <c r="T68" s="46"/>
      <c r="U68" s="4" t="s">
        <v>90</v>
      </c>
      <c r="V68" s="8"/>
      <c r="W68" s="8"/>
      <c r="X68" s="8"/>
      <c r="Y68" s="8"/>
      <c r="Z68" s="8"/>
      <c r="AA68" s="31"/>
      <c r="AB68" s="32"/>
      <c r="AC68" s="8"/>
      <c r="AD68" s="8"/>
      <c r="AE68" s="8"/>
      <c r="AF68" s="8"/>
      <c r="AG68" s="33"/>
      <c r="AH68" s="34"/>
      <c r="AI68" s="35"/>
    </row>
    <row r="69" spans="1:35" ht="42">
      <c r="A69" s="4">
        <v>14</v>
      </c>
      <c r="B69" s="14" t="s">
        <v>557</v>
      </c>
      <c r="C69" s="4" t="s">
        <v>558</v>
      </c>
      <c r="D69" s="4" t="s">
        <v>288</v>
      </c>
      <c r="E69" s="4" t="s">
        <v>501</v>
      </c>
      <c r="F69" s="43" t="s">
        <v>376</v>
      </c>
      <c r="G69" s="27" t="s">
        <v>508</v>
      </c>
      <c r="H69" s="8"/>
      <c r="I69" s="4"/>
      <c r="J69" s="4" t="s">
        <v>55</v>
      </c>
      <c r="K69" s="4" t="s">
        <v>559</v>
      </c>
      <c r="L69" s="4">
        <v>1</v>
      </c>
      <c r="M69" s="4">
        <v>0</v>
      </c>
      <c r="N69" s="4">
        <v>0</v>
      </c>
      <c r="O69" s="8"/>
      <c r="P69" s="45">
        <v>43388</v>
      </c>
      <c r="Q69" s="45">
        <v>45646</v>
      </c>
      <c r="R69" s="46">
        <v>396.03</v>
      </c>
      <c r="S69" s="8"/>
      <c r="T69" s="46"/>
      <c r="U69" s="4" t="s">
        <v>90</v>
      </c>
      <c r="V69" s="4" t="s">
        <v>508</v>
      </c>
      <c r="W69" s="4">
        <v>150</v>
      </c>
      <c r="X69" s="4">
        <v>82.8</v>
      </c>
      <c r="Y69" s="4">
        <v>54.41</v>
      </c>
      <c r="Z69" s="4">
        <v>54.41</v>
      </c>
      <c r="AA69" s="21">
        <v>54.41</v>
      </c>
      <c r="AB69" s="32"/>
      <c r="AC69" s="8"/>
      <c r="AD69" s="8"/>
      <c r="AE69" s="8"/>
      <c r="AF69" s="8"/>
      <c r="AG69" s="33"/>
      <c r="AH69" s="34"/>
      <c r="AI69" s="35"/>
    </row>
    <row r="70" spans="1:35" ht="84">
      <c r="A70" s="4">
        <v>15</v>
      </c>
      <c r="B70" s="14" t="s">
        <v>562</v>
      </c>
      <c r="C70" s="4" t="s">
        <v>563</v>
      </c>
      <c r="D70" s="4" t="s">
        <v>288</v>
      </c>
      <c r="E70" s="4" t="s">
        <v>501</v>
      </c>
      <c r="F70" s="43" t="s">
        <v>564</v>
      </c>
      <c r="G70" s="27">
        <v>15</v>
      </c>
      <c r="H70" s="4">
        <v>2</v>
      </c>
      <c r="I70" s="4" t="s">
        <v>503</v>
      </c>
      <c r="J70" s="4" t="s">
        <v>55</v>
      </c>
      <c r="K70" s="4" t="s">
        <v>565</v>
      </c>
      <c r="L70" s="4">
        <v>1</v>
      </c>
      <c r="M70" s="4">
        <v>1</v>
      </c>
      <c r="N70" s="4">
        <v>1</v>
      </c>
      <c r="O70" s="8"/>
      <c r="P70" s="45">
        <v>43388</v>
      </c>
      <c r="Q70" s="45">
        <v>45646</v>
      </c>
      <c r="R70" s="46">
        <v>0</v>
      </c>
      <c r="S70" s="8"/>
      <c r="T70" s="46"/>
      <c r="U70" s="4" t="s">
        <v>96</v>
      </c>
      <c r="V70" s="8"/>
      <c r="W70" s="8"/>
      <c r="X70" s="8"/>
      <c r="Y70" s="8"/>
      <c r="Z70" s="8"/>
      <c r="AA70" s="31"/>
      <c r="AB70" s="32"/>
      <c r="AC70" s="8"/>
      <c r="AD70" s="8"/>
      <c r="AE70" s="8"/>
      <c r="AF70" s="8"/>
      <c r="AG70" s="33"/>
      <c r="AH70" s="34"/>
      <c r="AI70" s="35"/>
    </row>
    <row r="71" spans="1:35" ht="98">
      <c r="A71" s="4">
        <v>16</v>
      </c>
      <c r="B71" s="14" t="s">
        <v>566</v>
      </c>
      <c r="C71" s="4" t="s">
        <v>567</v>
      </c>
      <c r="D71" s="4" t="s">
        <v>288</v>
      </c>
      <c r="E71" s="4" t="s">
        <v>501</v>
      </c>
      <c r="F71" s="43" t="s">
        <v>568</v>
      </c>
      <c r="G71" s="27" t="s">
        <v>508</v>
      </c>
      <c r="H71" s="4"/>
      <c r="I71" s="8"/>
      <c r="J71" s="4" t="s">
        <v>55</v>
      </c>
      <c r="K71" s="4" t="s">
        <v>569</v>
      </c>
      <c r="L71" s="4">
        <v>1</v>
      </c>
      <c r="M71" s="4">
        <v>0</v>
      </c>
      <c r="N71" s="4">
        <v>0</v>
      </c>
      <c r="O71" s="8"/>
      <c r="P71" s="45">
        <v>43388</v>
      </c>
      <c r="Q71" s="45">
        <v>43819</v>
      </c>
      <c r="R71" s="46">
        <v>0</v>
      </c>
      <c r="S71" s="8"/>
      <c r="T71" s="46"/>
      <c r="U71" s="4" t="s">
        <v>90</v>
      </c>
      <c r="V71" s="8"/>
      <c r="W71" s="8"/>
      <c r="X71" s="8"/>
      <c r="Y71" s="8"/>
      <c r="Z71" s="8"/>
      <c r="AA71" s="31"/>
      <c r="AB71" s="32"/>
      <c r="AC71" s="8"/>
      <c r="AD71" s="8"/>
      <c r="AE71" s="8"/>
      <c r="AF71" s="8"/>
      <c r="AG71" s="33"/>
      <c r="AH71" s="34"/>
      <c r="AI71" s="35"/>
    </row>
    <row r="72" spans="1:35" ht="56">
      <c r="A72" s="4">
        <v>17</v>
      </c>
      <c r="B72" s="14" t="s">
        <v>570</v>
      </c>
      <c r="C72" s="4" t="s">
        <v>571</v>
      </c>
      <c r="D72" s="4" t="s">
        <v>288</v>
      </c>
      <c r="E72" s="4" t="s">
        <v>501</v>
      </c>
      <c r="F72" s="43" t="s">
        <v>471</v>
      </c>
      <c r="G72" s="27" t="s">
        <v>508</v>
      </c>
      <c r="H72" s="8"/>
      <c r="I72" s="8"/>
      <c r="J72" s="4" t="s">
        <v>55</v>
      </c>
      <c r="K72" s="4" t="s">
        <v>572</v>
      </c>
      <c r="L72" s="4">
        <v>1</v>
      </c>
      <c r="M72" s="4">
        <v>0</v>
      </c>
      <c r="N72" s="4">
        <v>0</v>
      </c>
      <c r="O72" s="8"/>
      <c r="P72" s="45">
        <v>43388</v>
      </c>
      <c r="Q72" s="45">
        <v>43647</v>
      </c>
      <c r="R72" s="46">
        <v>0</v>
      </c>
      <c r="S72" s="8"/>
      <c r="T72" s="46"/>
      <c r="U72" s="4" t="s">
        <v>90</v>
      </c>
      <c r="V72" s="8"/>
      <c r="W72" s="8"/>
      <c r="X72" s="8"/>
      <c r="Y72" s="8"/>
      <c r="Z72" s="8"/>
      <c r="AA72" s="31"/>
      <c r="AB72" s="32"/>
      <c r="AC72" s="8"/>
      <c r="AD72" s="8"/>
      <c r="AE72" s="8"/>
      <c r="AF72" s="8"/>
      <c r="AG72" s="33"/>
      <c r="AH72" s="34"/>
      <c r="AI72" s="35"/>
    </row>
    <row r="73" spans="1:35" ht="98">
      <c r="A73" s="4">
        <v>18</v>
      </c>
      <c r="B73" s="14" t="s">
        <v>575</v>
      </c>
      <c r="C73" s="4" t="s">
        <v>576</v>
      </c>
      <c r="D73" s="4" t="s">
        <v>288</v>
      </c>
      <c r="E73" s="4" t="s">
        <v>501</v>
      </c>
      <c r="F73" s="43" t="s">
        <v>577</v>
      </c>
      <c r="G73" s="27" t="s">
        <v>508</v>
      </c>
      <c r="H73" s="8"/>
      <c r="I73" s="8"/>
      <c r="J73" s="4" t="s">
        <v>55</v>
      </c>
      <c r="K73" s="4" t="s">
        <v>578</v>
      </c>
      <c r="L73" s="4">
        <v>1</v>
      </c>
      <c r="M73" s="4">
        <v>1</v>
      </c>
      <c r="N73" s="4">
        <v>0</v>
      </c>
      <c r="O73" s="8"/>
      <c r="P73" s="45">
        <v>43388</v>
      </c>
      <c r="Q73" s="45">
        <v>44185</v>
      </c>
      <c r="R73" s="46">
        <v>0</v>
      </c>
      <c r="S73" s="8"/>
      <c r="T73" s="46"/>
      <c r="U73" s="4" t="s">
        <v>96</v>
      </c>
      <c r="V73" s="8"/>
      <c r="W73" s="8"/>
      <c r="X73" s="8"/>
      <c r="Y73" s="8"/>
      <c r="Z73" s="8"/>
      <c r="AA73" s="31"/>
      <c r="AB73" s="32"/>
      <c r="AC73" s="8"/>
      <c r="AD73" s="8"/>
      <c r="AE73" s="8"/>
      <c r="AF73" s="8"/>
      <c r="AG73" s="33"/>
      <c r="AH73" s="34"/>
      <c r="AI73" s="35"/>
    </row>
    <row r="74" spans="1:35" ht="112">
      <c r="A74" s="4">
        <v>19</v>
      </c>
      <c r="B74" s="14" t="s">
        <v>579</v>
      </c>
      <c r="C74" s="4" t="s">
        <v>580</v>
      </c>
      <c r="D74" s="4" t="s">
        <v>288</v>
      </c>
      <c r="E74" s="4" t="s">
        <v>501</v>
      </c>
      <c r="F74" s="43" t="s">
        <v>581</v>
      </c>
      <c r="G74" s="27" t="s">
        <v>508</v>
      </c>
      <c r="H74" s="8"/>
      <c r="I74" s="8"/>
      <c r="J74" s="4" t="s">
        <v>55</v>
      </c>
      <c r="K74" s="4" t="s">
        <v>582</v>
      </c>
      <c r="L74" s="4">
        <v>1</v>
      </c>
      <c r="M74" s="4">
        <v>1</v>
      </c>
      <c r="N74" s="4">
        <v>0</v>
      </c>
      <c r="O74" s="8"/>
      <c r="P74" s="45">
        <v>43388</v>
      </c>
      <c r="Q74" s="45">
        <v>43647</v>
      </c>
      <c r="R74" s="46">
        <v>0</v>
      </c>
      <c r="S74" s="8"/>
      <c r="T74" s="46"/>
      <c r="U74" s="4" t="s">
        <v>96</v>
      </c>
      <c r="V74" s="8"/>
      <c r="W74" s="8"/>
      <c r="X74" s="8"/>
      <c r="Y74" s="8"/>
      <c r="Z74" s="8"/>
      <c r="AA74" s="31"/>
      <c r="AB74" s="32"/>
      <c r="AC74" s="8"/>
      <c r="AD74" s="8"/>
      <c r="AE74" s="8"/>
      <c r="AF74" s="8"/>
      <c r="AG74" s="33"/>
      <c r="AH74" s="34"/>
      <c r="AI74" s="35"/>
    </row>
    <row r="75" spans="1:35" ht="319">
      <c r="A75" s="4">
        <v>20</v>
      </c>
      <c r="B75" s="14" t="s">
        <v>583</v>
      </c>
      <c r="C75" s="4" t="s">
        <v>584</v>
      </c>
      <c r="D75" s="4" t="s">
        <v>288</v>
      </c>
      <c r="E75" s="4" t="s">
        <v>501</v>
      </c>
      <c r="F75" s="43" t="s">
        <v>477</v>
      </c>
      <c r="G75" s="27" t="s">
        <v>508</v>
      </c>
      <c r="H75" s="8"/>
      <c r="I75" s="8"/>
      <c r="J75" s="4" t="s">
        <v>55</v>
      </c>
      <c r="K75" s="4" t="s">
        <v>585</v>
      </c>
      <c r="L75" s="4">
        <v>1</v>
      </c>
      <c r="M75" s="4">
        <v>1</v>
      </c>
      <c r="N75" s="4">
        <v>0</v>
      </c>
      <c r="O75" s="8"/>
      <c r="P75" s="45">
        <v>43388</v>
      </c>
      <c r="Q75" s="45">
        <v>43525</v>
      </c>
      <c r="R75" s="46">
        <v>0</v>
      </c>
      <c r="S75" s="8"/>
      <c r="T75" s="46"/>
      <c r="U75" s="4" t="s">
        <v>90</v>
      </c>
      <c r="V75" s="8"/>
      <c r="W75" s="8"/>
      <c r="X75" s="8"/>
      <c r="Y75" s="8"/>
      <c r="Z75" s="8"/>
      <c r="AA75" s="31"/>
      <c r="AB75" s="32"/>
      <c r="AC75" s="8"/>
      <c r="AD75" s="8"/>
      <c r="AE75" s="8"/>
      <c r="AF75" s="8"/>
      <c r="AG75" s="33"/>
      <c r="AH75" s="34"/>
      <c r="AI75" s="35"/>
    </row>
    <row r="76" spans="1:35" ht="126">
      <c r="A76" s="4">
        <v>21</v>
      </c>
      <c r="B76" s="14" t="s">
        <v>586</v>
      </c>
      <c r="C76" s="4" t="s">
        <v>587</v>
      </c>
      <c r="D76" s="4" t="s">
        <v>288</v>
      </c>
      <c r="E76" s="4" t="s">
        <v>501</v>
      </c>
      <c r="F76" s="43" t="s">
        <v>483</v>
      </c>
      <c r="G76" s="27">
        <v>15</v>
      </c>
      <c r="H76" s="73">
        <v>2</v>
      </c>
      <c r="I76" s="73" t="s">
        <v>503</v>
      </c>
      <c r="J76" s="4" t="s">
        <v>55</v>
      </c>
      <c r="K76" s="4" t="s">
        <v>590</v>
      </c>
      <c r="L76" s="4">
        <v>1</v>
      </c>
      <c r="M76" s="4">
        <v>1</v>
      </c>
      <c r="N76" s="4">
        <v>0</v>
      </c>
      <c r="O76" s="8"/>
      <c r="P76" s="45">
        <v>43388</v>
      </c>
      <c r="Q76" s="45">
        <v>45646</v>
      </c>
      <c r="R76" s="46">
        <v>0</v>
      </c>
      <c r="S76" s="8"/>
      <c r="T76" s="46"/>
      <c r="U76" s="4" t="s">
        <v>96</v>
      </c>
      <c r="V76" s="8"/>
      <c r="W76" s="8"/>
      <c r="X76" s="8"/>
      <c r="Y76" s="8"/>
      <c r="Z76" s="8"/>
      <c r="AA76" s="31"/>
      <c r="AB76" s="32"/>
      <c r="AC76" s="8"/>
      <c r="AD76" s="8"/>
      <c r="AE76" s="8"/>
      <c r="AF76" s="8"/>
      <c r="AG76" s="33"/>
      <c r="AH76" s="34"/>
      <c r="AI76" s="35"/>
    </row>
    <row r="77" spans="1:35" ht="126">
      <c r="A77" s="4">
        <v>22</v>
      </c>
      <c r="B77" s="14" t="s">
        <v>591</v>
      </c>
      <c r="C77" s="4" t="s">
        <v>592</v>
      </c>
      <c r="D77" s="4" t="s">
        <v>288</v>
      </c>
      <c r="E77" s="4" t="s">
        <v>501</v>
      </c>
      <c r="F77" s="43" t="s">
        <v>486</v>
      </c>
      <c r="G77" s="27">
        <v>15</v>
      </c>
      <c r="H77" s="73">
        <v>2</v>
      </c>
      <c r="I77" s="73" t="s">
        <v>503</v>
      </c>
      <c r="J77" s="4" t="s">
        <v>55</v>
      </c>
      <c r="K77" s="4" t="s">
        <v>590</v>
      </c>
      <c r="L77" s="4">
        <v>1</v>
      </c>
      <c r="M77" s="4">
        <v>1</v>
      </c>
      <c r="N77" s="4">
        <v>0</v>
      </c>
      <c r="O77" s="8"/>
      <c r="P77" s="45">
        <v>43388</v>
      </c>
      <c r="Q77" s="45">
        <v>45646</v>
      </c>
      <c r="R77" s="46">
        <v>0</v>
      </c>
      <c r="S77" s="8"/>
      <c r="T77" s="46"/>
      <c r="U77" s="4" t="s">
        <v>96</v>
      </c>
      <c r="V77" s="8"/>
      <c r="W77" s="8"/>
      <c r="X77" s="8"/>
      <c r="Y77" s="8"/>
      <c r="Z77" s="8"/>
      <c r="AA77" s="31"/>
      <c r="AB77" s="32"/>
      <c r="AC77" s="8"/>
      <c r="AD77" s="8"/>
      <c r="AE77" s="8"/>
      <c r="AF77" s="8"/>
      <c r="AG77" s="33"/>
      <c r="AH77" s="34"/>
      <c r="AI77" s="35"/>
    </row>
    <row r="78" spans="1:35" ht="182">
      <c r="A78" s="4">
        <v>23</v>
      </c>
      <c r="B78" s="14" t="s">
        <v>593</v>
      </c>
      <c r="C78" s="4" t="s">
        <v>594</v>
      </c>
      <c r="D78" s="4" t="s">
        <v>288</v>
      </c>
      <c r="E78" s="4" t="s">
        <v>501</v>
      </c>
      <c r="F78" s="43" t="s">
        <v>595</v>
      </c>
      <c r="G78" s="27" t="s">
        <v>508</v>
      </c>
      <c r="H78" s="8"/>
      <c r="I78" s="8"/>
      <c r="J78" s="4" t="s">
        <v>55</v>
      </c>
      <c r="K78" s="8"/>
      <c r="L78" s="4">
        <v>1</v>
      </c>
      <c r="M78" s="4">
        <v>0</v>
      </c>
      <c r="N78" s="4">
        <v>0</v>
      </c>
      <c r="O78" s="8"/>
      <c r="P78" s="45">
        <v>43388</v>
      </c>
      <c r="Q78" s="45">
        <v>44185</v>
      </c>
      <c r="R78" s="46">
        <v>0</v>
      </c>
      <c r="S78" s="8"/>
      <c r="T78" s="46"/>
      <c r="U78" s="4" t="s">
        <v>90</v>
      </c>
      <c r="V78" s="8"/>
      <c r="W78" s="8"/>
      <c r="X78" s="8"/>
      <c r="Y78" s="8"/>
      <c r="Z78" s="8"/>
      <c r="AA78" s="31"/>
      <c r="AB78" s="32"/>
      <c r="AC78" s="8"/>
      <c r="AD78" s="8"/>
      <c r="AE78" s="8"/>
      <c r="AF78" s="8"/>
      <c r="AG78" s="33"/>
      <c r="AH78" s="34"/>
      <c r="AI78" s="35"/>
    </row>
    <row r="79" spans="1:35" ht="126">
      <c r="A79" s="4">
        <v>24</v>
      </c>
      <c r="B79" s="14" t="s">
        <v>597</v>
      </c>
      <c r="C79" s="4" t="s">
        <v>598</v>
      </c>
      <c r="D79" s="4" t="s">
        <v>288</v>
      </c>
      <c r="E79" s="4" t="s">
        <v>501</v>
      </c>
      <c r="F79" s="43" t="s">
        <v>599</v>
      </c>
      <c r="G79" s="27" t="s">
        <v>508</v>
      </c>
      <c r="H79" s="8"/>
      <c r="I79" s="8"/>
      <c r="J79" s="4" t="s">
        <v>55</v>
      </c>
      <c r="K79" s="4" t="s">
        <v>600</v>
      </c>
      <c r="L79" s="4">
        <v>1</v>
      </c>
      <c r="M79" s="8"/>
      <c r="N79" s="8"/>
      <c r="O79" s="8"/>
      <c r="P79" s="45">
        <v>43388</v>
      </c>
      <c r="Q79" s="45">
        <v>45646</v>
      </c>
      <c r="R79" s="46">
        <v>0</v>
      </c>
      <c r="S79" s="8"/>
      <c r="T79" s="46"/>
      <c r="U79" s="4" t="s">
        <v>90</v>
      </c>
      <c r="V79" s="8"/>
      <c r="W79" s="8"/>
      <c r="X79" s="8"/>
      <c r="Y79" s="8"/>
      <c r="Z79" s="8"/>
      <c r="AA79" s="31"/>
      <c r="AB79" s="32"/>
      <c r="AC79" s="8"/>
      <c r="AD79" s="8"/>
      <c r="AE79" s="8"/>
      <c r="AF79" s="8"/>
      <c r="AG79" s="33"/>
      <c r="AH79" s="34"/>
      <c r="AI79" s="35"/>
    </row>
    <row r="80" spans="1:35" ht="56">
      <c r="A80" s="4">
        <v>25</v>
      </c>
      <c r="B80" s="14" t="s">
        <v>601</v>
      </c>
      <c r="C80" s="4" t="s">
        <v>602</v>
      </c>
      <c r="D80" s="4" t="s">
        <v>288</v>
      </c>
      <c r="E80" s="4" t="s">
        <v>501</v>
      </c>
      <c r="F80" s="43" t="s">
        <v>603</v>
      </c>
      <c r="G80" s="27" t="s">
        <v>508</v>
      </c>
      <c r="H80" s="8"/>
      <c r="I80" s="8"/>
      <c r="J80" s="4" t="s">
        <v>55</v>
      </c>
      <c r="K80" s="4" t="s">
        <v>604</v>
      </c>
      <c r="L80" s="4">
        <v>1</v>
      </c>
      <c r="M80" s="4">
        <v>1</v>
      </c>
      <c r="N80" s="4">
        <v>0</v>
      </c>
      <c r="O80" s="8"/>
      <c r="P80" s="45">
        <v>43388</v>
      </c>
      <c r="Q80" s="45">
        <v>45383</v>
      </c>
      <c r="R80" s="46">
        <v>0</v>
      </c>
      <c r="S80" s="8"/>
      <c r="T80" s="46"/>
      <c r="U80" s="4" t="s">
        <v>90</v>
      </c>
      <c r="V80" s="8"/>
      <c r="W80" s="8"/>
      <c r="X80" s="8"/>
      <c r="Y80" s="8"/>
      <c r="Z80" s="8"/>
      <c r="AA80" s="31"/>
      <c r="AB80" s="32"/>
      <c r="AC80" s="8"/>
      <c r="AD80" s="8"/>
      <c r="AE80" s="8"/>
      <c r="AF80" s="8"/>
      <c r="AG80" s="33"/>
      <c r="AH80" s="34"/>
      <c r="AI80" s="35"/>
    </row>
    <row r="81" spans="1:35" ht="112">
      <c r="A81" s="4">
        <v>26</v>
      </c>
      <c r="B81" s="14" t="s">
        <v>607</v>
      </c>
      <c r="C81" s="4" t="s">
        <v>608</v>
      </c>
      <c r="D81" s="4" t="s">
        <v>288</v>
      </c>
      <c r="E81" s="4" t="s">
        <v>501</v>
      </c>
      <c r="F81" s="43" t="s">
        <v>609</v>
      </c>
      <c r="G81" s="27">
        <v>15</v>
      </c>
      <c r="H81" s="4">
        <v>2</v>
      </c>
      <c r="I81" s="4" t="s">
        <v>503</v>
      </c>
      <c r="J81" s="4" t="s">
        <v>55</v>
      </c>
      <c r="K81" s="4" t="s">
        <v>611</v>
      </c>
      <c r="L81" s="4">
        <v>1</v>
      </c>
      <c r="M81" s="4">
        <v>1</v>
      </c>
      <c r="N81" s="4">
        <v>0</v>
      </c>
      <c r="O81" s="8"/>
      <c r="P81" s="45">
        <v>43388</v>
      </c>
      <c r="Q81" s="45">
        <v>45646</v>
      </c>
      <c r="R81" s="46">
        <v>0</v>
      </c>
      <c r="S81" s="8"/>
      <c r="T81" s="46"/>
      <c r="U81" s="4" t="s">
        <v>96</v>
      </c>
      <c r="V81" s="8"/>
      <c r="W81" s="8"/>
      <c r="X81" s="8"/>
      <c r="Y81" s="8"/>
      <c r="Z81" s="8"/>
      <c r="AA81" s="31"/>
      <c r="AB81" s="32"/>
      <c r="AC81" s="8"/>
      <c r="AD81" s="8"/>
      <c r="AE81" s="8"/>
      <c r="AF81" s="8"/>
      <c r="AG81" s="33"/>
      <c r="AH81" s="34"/>
      <c r="AI81" s="35"/>
    </row>
    <row r="82" spans="1:35" ht="98">
      <c r="A82" s="4">
        <v>27</v>
      </c>
      <c r="B82" s="14" t="s">
        <v>615</v>
      </c>
      <c r="C82" s="4" t="s">
        <v>616</v>
      </c>
      <c r="D82" s="4" t="s">
        <v>288</v>
      </c>
      <c r="E82" s="4" t="s">
        <v>501</v>
      </c>
      <c r="F82" s="43" t="s">
        <v>618</v>
      </c>
      <c r="G82" s="27" t="s">
        <v>508</v>
      </c>
      <c r="H82" s="8"/>
      <c r="I82" s="8"/>
      <c r="J82" s="4" t="s">
        <v>55</v>
      </c>
      <c r="K82" s="4" t="s">
        <v>621</v>
      </c>
      <c r="L82" s="4">
        <v>1</v>
      </c>
      <c r="M82" s="4">
        <v>1</v>
      </c>
      <c r="N82" s="4">
        <v>0</v>
      </c>
      <c r="O82" s="8"/>
      <c r="P82" s="45">
        <v>43388</v>
      </c>
      <c r="Q82" s="45">
        <v>43797</v>
      </c>
      <c r="R82" s="46">
        <v>0</v>
      </c>
      <c r="S82" s="8"/>
      <c r="T82" s="46"/>
      <c r="U82" s="4" t="s">
        <v>90</v>
      </c>
      <c r="V82" s="8"/>
      <c r="W82" s="8"/>
      <c r="X82" s="8"/>
      <c r="Y82" s="8"/>
      <c r="Z82" s="8"/>
      <c r="AA82" s="31"/>
      <c r="AB82" s="32"/>
      <c r="AC82" s="8"/>
      <c r="AD82" s="8"/>
      <c r="AE82" s="8"/>
      <c r="AF82" s="8"/>
      <c r="AG82" s="33"/>
      <c r="AH82" s="34"/>
      <c r="AI82" s="35"/>
    </row>
    <row r="83" spans="1:35" ht="56">
      <c r="A83" s="4">
        <v>28</v>
      </c>
      <c r="B83" s="14" t="s">
        <v>631</v>
      </c>
      <c r="C83" s="4" t="s">
        <v>632</v>
      </c>
      <c r="D83" s="4" t="s">
        <v>288</v>
      </c>
      <c r="E83" s="4" t="s">
        <v>501</v>
      </c>
      <c r="F83" s="43" t="s">
        <v>635</v>
      </c>
      <c r="G83" s="27" t="s">
        <v>508</v>
      </c>
      <c r="H83" s="8"/>
      <c r="I83" s="8"/>
      <c r="J83" s="4" t="s">
        <v>55</v>
      </c>
      <c r="K83" s="4" t="s">
        <v>636</v>
      </c>
      <c r="L83" s="4">
        <v>1</v>
      </c>
      <c r="M83" s="4">
        <v>0</v>
      </c>
      <c r="N83" s="4">
        <v>0</v>
      </c>
      <c r="O83" s="8"/>
      <c r="P83" s="45">
        <v>43388</v>
      </c>
      <c r="Q83" s="45">
        <v>43797</v>
      </c>
      <c r="R83" s="49"/>
      <c r="S83" s="8"/>
      <c r="T83" s="49"/>
      <c r="U83" s="4" t="s">
        <v>90</v>
      </c>
      <c r="V83" s="8"/>
      <c r="W83" s="8"/>
      <c r="X83" s="8"/>
      <c r="Y83" s="8"/>
      <c r="Z83" s="8"/>
      <c r="AA83" s="31"/>
      <c r="AB83" s="32"/>
      <c r="AC83" s="8"/>
      <c r="AD83" s="8"/>
      <c r="AE83" s="8"/>
      <c r="AF83" s="8"/>
      <c r="AG83" s="33"/>
      <c r="AH83" s="34"/>
      <c r="AI83" s="35"/>
    </row>
    <row r="84" spans="1:35" ht="98">
      <c r="A84" s="4">
        <v>29</v>
      </c>
      <c r="B84" s="14" t="s">
        <v>638</v>
      </c>
      <c r="C84" s="4" t="s">
        <v>639</v>
      </c>
      <c r="D84" s="4" t="s">
        <v>288</v>
      </c>
      <c r="E84" s="4" t="s">
        <v>501</v>
      </c>
      <c r="F84" s="43" t="s">
        <v>640</v>
      </c>
      <c r="G84" s="27" t="s">
        <v>508</v>
      </c>
      <c r="H84" s="8"/>
      <c r="I84" s="8"/>
      <c r="J84" s="4" t="s">
        <v>55</v>
      </c>
      <c r="K84" s="4" t="s">
        <v>642</v>
      </c>
      <c r="L84" s="4">
        <v>1</v>
      </c>
      <c r="M84" s="4">
        <v>0</v>
      </c>
      <c r="N84" s="4">
        <v>0</v>
      </c>
      <c r="O84" s="8"/>
      <c r="P84" s="45">
        <v>43388</v>
      </c>
      <c r="Q84" s="45">
        <v>44104</v>
      </c>
      <c r="R84" s="46">
        <v>0</v>
      </c>
      <c r="S84" s="8"/>
      <c r="T84" s="46"/>
      <c r="U84" s="4" t="s">
        <v>90</v>
      </c>
      <c r="V84" s="8"/>
      <c r="W84" s="8"/>
      <c r="X84" s="8"/>
      <c r="Y84" s="8"/>
      <c r="Z84" s="8"/>
      <c r="AA84" s="31"/>
      <c r="AB84" s="32"/>
      <c r="AC84" s="8"/>
      <c r="AD84" s="8"/>
      <c r="AE84" s="8"/>
      <c r="AF84" s="8"/>
      <c r="AG84" s="33"/>
      <c r="AH84" s="34"/>
      <c r="AI84" s="35"/>
    </row>
    <row r="85" spans="1:35" ht="98">
      <c r="A85" s="4">
        <v>30</v>
      </c>
      <c r="B85" s="14" t="s">
        <v>646</v>
      </c>
      <c r="C85" s="4" t="s">
        <v>647</v>
      </c>
      <c r="D85" s="4" t="s">
        <v>288</v>
      </c>
      <c r="E85" s="4" t="s">
        <v>501</v>
      </c>
      <c r="F85" s="43" t="s">
        <v>648</v>
      </c>
      <c r="G85" s="27" t="s">
        <v>508</v>
      </c>
      <c r="H85" s="8"/>
      <c r="I85" s="8"/>
      <c r="J85" s="4" t="s">
        <v>55</v>
      </c>
      <c r="K85" s="4" t="s">
        <v>649</v>
      </c>
      <c r="L85" s="4">
        <v>1</v>
      </c>
      <c r="M85" s="4">
        <v>0</v>
      </c>
      <c r="N85" s="4">
        <v>0</v>
      </c>
      <c r="O85" s="8"/>
      <c r="P85" s="45">
        <v>43388</v>
      </c>
      <c r="Q85" s="45">
        <v>43819</v>
      </c>
      <c r="R85" s="46">
        <v>0</v>
      </c>
      <c r="S85" s="8"/>
      <c r="T85" s="46"/>
      <c r="U85" s="4" t="s">
        <v>90</v>
      </c>
      <c r="V85" s="8"/>
      <c r="W85" s="8"/>
      <c r="X85" s="8"/>
      <c r="Y85" s="8"/>
      <c r="Z85" s="8"/>
      <c r="AA85" s="31"/>
      <c r="AB85" s="32"/>
      <c r="AC85" s="8"/>
      <c r="AD85" s="8"/>
      <c r="AE85" s="8"/>
      <c r="AF85" s="8"/>
      <c r="AG85" s="33"/>
      <c r="AH85" s="34"/>
      <c r="AI85" s="35"/>
    </row>
    <row r="86" spans="1:35" ht="140">
      <c r="A86" s="4">
        <v>31</v>
      </c>
      <c r="B86" s="14" t="s">
        <v>652</v>
      </c>
      <c r="C86" s="4" t="s">
        <v>653</v>
      </c>
      <c r="D86" s="4" t="s">
        <v>288</v>
      </c>
      <c r="E86" s="4" t="s">
        <v>501</v>
      </c>
      <c r="F86" s="43" t="s">
        <v>654</v>
      </c>
      <c r="G86" s="27" t="s">
        <v>508</v>
      </c>
      <c r="H86" s="8"/>
      <c r="I86" s="8"/>
      <c r="J86" s="4" t="s">
        <v>55</v>
      </c>
      <c r="K86" s="4" t="s">
        <v>655</v>
      </c>
      <c r="L86" s="4">
        <v>1</v>
      </c>
      <c r="M86" s="4">
        <v>1</v>
      </c>
      <c r="N86" s="4">
        <v>0</v>
      </c>
      <c r="O86" s="8"/>
      <c r="P86" s="45">
        <v>43388</v>
      </c>
      <c r="Q86" s="45">
        <v>43753</v>
      </c>
      <c r="R86" s="46">
        <v>0</v>
      </c>
      <c r="S86" s="8"/>
      <c r="T86" s="46"/>
      <c r="U86" s="4" t="s">
        <v>90</v>
      </c>
      <c r="V86" s="8"/>
      <c r="W86" s="8"/>
      <c r="X86" s="8"/>
      <c r="Y86" s="8"/>
      <c r="Z86" s="8"/>
      <c r="AA86" s="31"/>
      <c r="AB86" s="32"/>
      <c r="AC86" s="8"/>
      <c r="AD86" s="8"/>
      <c r="AE86" s="8"/>
      <c r="AF86" s="8"/>
      <c r="AG86" s="33"/>
      <c r="AH86" s="34"/>
      <c r="AI86" s="35"/>
    </row>
    <row r="87" spans="1:35" ht="126">
      <c r="A87" s="4">
        <v>32</v>
      </c>
      <c r="B87" s="14" t="s">
        <v>656</v>
      </c>
      <c r="C87" s="4" t="s">
        <v>657</v>
      </c>
      <c r="D87" s="4" t="s">
        <v>288</v>
      </c>
      <c r="E87" s="4" t="s">
        <v>501</v>
      </c>
      <c r="F87" s="43" t="s">
        <v>658</v>
      </c>
      <c r="G87" s="27" t="s">
        <v>508</v>
      </c>
      <c r="H87" s="8"/>
      <c r="I87" s="8"/>
      <c r="J87" s="4" t="s">
        <v>55</v>
      </c>
      <c r="K87" s="4" t="s">
        <v>659</v>
      </c>
      <c r="L87" s="4">
        <v>1</v>
      </c>
      <c r="M87" s="4">
        <v>0</v>
      </c>
      <c r="N87" s="4">
        <v>0</v>
      </c>
      <c r="O87" s="8"/>
      <c r="P87" s="45">
        <v>43388</v>
      </c>
      <c r="Q87" s="45">
        <v>43819</v>
      </c>
      <c r="R87" s="46">
        <v>0</v>
      </c>
      <c r="S87" s="8"/>
      <c r="T87" s="46"/>
      <c r="U87" s="4" t="s">
        <v>90</v>
      </c>
      <c r="V87" s="8"/>
      <c r="W87" s="8"/>
      <c r="X87" s="8"/>
      <c r="Y87" s="8"/>
      <c r="Z87" s="8"/>
      <c r="AA87" s="31"/>
      <c r="AB87" s="32"/>
      <c r="AC87" s="8"/>
      <c r="AD87" s="8"/>
      <c r="AE87" s="8"/>
      <c r="AF87" s="8"/>
      <c r="AG87" s="33"/>
      <c r="AH87" s="34"/>
      <c r="AI87" s="35"/>
    </row>
    <row r="88" spans="1:35" ht="168">
      <c r="A88" s="4">
        <v>33</v>
      </c>
      <c r="B88" s="14" t="s">
        <v>660</v>
      </c>
      <c r="C88" s="4" t="s">
        <v>661</v>
      </c>
      <c r="D88" s="4" t="s">
        <v>288</v>
      </c>
      <c r="E88" s="4" t="s">
        <v>501</v>
      </c>
      <c r="F88" s="43" t="s">
        <v>662</v>
      </c>
      <c r="G88" s="27" t="s">
        <v>508</v>
      </c>
      <c r="H88" s="8"/>
      <c r="I88" s="8"/>
      <c r="J88" s="4" t="s">
        <v>55</v>
      </c>
      <c r="K88" s="4" t="s">
        <v>663</v>
      </c>
      <c r="L88" s="4">
        <v>1</v>
      </c>
      <c r="M88" s="4">
        <v>0</v>
      </c>
      <c r="N88" s="4">
        <v>0</v>
      </c>
      <c r="O88" s="8"/>
      <c r="P88" s="45">
        <v>43388</v>
      </c>
      <c r="Q88" s="45">
        <v>43819</v>
      </c>
      <c r="R88" s="46">
        <v>0</v>
      </c>
      <c r="S88" s="8"/>
      <c r="T88" s="46"/>
      <c r="U88" s="4" t="s">
        <v>90</v>
      </c>
      <c r="V88" s="8"/>
      <c r="W88" s="8"/>
      <c r="X88" s="8"/>
      <c r="Y88" s="8"/>
      <c r="Z88" s="8"/>
      <c r="AA88" s="31"/>
      <c r="AB88" s="32"/>
      <c r="AC88" s="8"/>
      <c r="AD88" s="8"/>
      <c r="AE88" s="8"/>
      <c r="AF88" s="8"/>
      <c r="AG88" s="33"/>
      <c r="AH88" s="34"/>
      <c r="AI88" s="35"/>
    </row>
    <row r="89" spans="1:35" ht="168">
      <c r="A89" s="4">
        <v>34</v>
      </c>
      <c r="B89" s="14" t="s">
        <v>664</v>
      </c>
      <c r="C89" s="4" t="s">
        <v>665</v>
      </c>
      <c r="D89" s="4" t="s">
        <v>288</v>
      </c>
      <c r="E89" s="4" t="s">
        <v>501</v>
      </c>
      <c r="F89" s="43" t="s">
        <v>666</v>
      </c>
      <c r="G89" s="27">
        <v>15</v>
      </c>
      <c r="H89" s="8"/>
      <c r="I89" s="4" t="s">
        <v>667</v>
      </c>
      <c r="J89" s="4" t="s">
        <v>55</v>
      </c>
      <c r="K89" s="4" t="s">
        <v>669</v>
      </c>
      <c r="L89" s="4">
        <v>1</v>
      </c>
      <c r="M89" s="4">
        <v>0</v>
      </c>
      <c r="N89" s="4">
        <v>0</v>
      </c>
      <c r="O89" s="8"/>
      <c r="P89" s="45">
        <v>43753</v>
      </c>
      <c r="Q89" s="45">
        <v>43617</v>
      </c>
      <c r="R89" s="46">
        <v>0</v>
      </c>
      <c r="S89" s="8"/>
      <c r="T89" s="46"/>
      <c r="U89" s="4" t="s">
        <v>90</v>
      </c>
      <c r="V89" s="8"/>
      <c r="W89" s="8"/>
      <c r="X89" s="8"/>
      <c r="Y89" s="8"/>
      <c r="Z89" s="8"/>
      <c r="AA89" s="31"/>
      <c r="AB89" s="32"/>
      <c r="AC89" s="8"/>
      <c r="AD89" s="8"/>
      <c r="AE89" s="8"/>
      <c r="AF89" s="8"/>
      <c r="AG89" s="33"/>
      <c r="AH89" s="34"/>
      <c r="AI89" s="35"/>
    </row>
    <row r="90" spans="1:35" ht="252">
      <c r="A90" s="4">
        <v>35</v>
      </c>
      <c r="B90" s="14" t="s">
        <v>671</v>
      </c>
      <c r="C90" s="4" t="s">
        <v>672</v>
      </c>
      <c r="D90" s="4" t="s">
        <v>288</v>
      </c>
      <c r="E90" s="4" t="s">
        <v>501</v>
      </c>
      <c r="F90" s="43" t="s">
        <v>673</v>
      </c>
      <c r="G90" s="27" t="s">
        <v>508</v>
      </c>
      <c r="H90" s="8"/>
      <c r="I90" s="8"/>
      <c r="J90" s="4" t="s">
        <v>55</v>
      </c>
      <c r="K90" s="4" t="s">
        <v>674</v>
      </c>
      <c r="L90" s="4">
        <v>1</v>
      </c>
      <c r="M90" s="4">
        <v>1</v>
      </c>
      <c r="N90" s="4">
        <v>0</v>
      </c>
      <c r="O90" s="8"/>
      <c r="P90" s="45">
        <v>43388</v>
      </c>
      <c r="Q90" s="45">
        <v>45646</v>
      </c>
      <c r="R90" s="45" t="s">
        <v>675</v>
      </c>
      <c r="S90" s="8"/>
      <c r="T90" s="45"/>
      <c r="U90" s="27" t="s">
        <v>90</v>
      </c>
      <c r="V90" s="4">
        <v>3482.78</v>
      </c>
      <c r="W90" s="4">
        <v>3500</v>
      </c>
      <c r="X90" s="4">
        <v>1500</v>
      </c>
      <c r="Y90" s="4">
        <v>1800</v>
      </c>
      <c r="Z90" s="4">
        <v>0</v>
      </c>
      <c r="AA90" s="21">
        <v>2000</v>
      </c>
      <c r="AB90" s="32"/>
      <c r="AC90" s="8"/>
      <c r="AD90" s="8"/>
      <c r="AE90" s="8"/>
      <c r="AF90" s="8"/>
      <c r="AG90" s="33"/>
      <c r="AH90" s="34"/>
      <c r="AI90" s="35"/>
    </row>
    <row r="91" spans="1:35" ht="98">
      <c r="A91" s="4">
        <v>36</v>
      </c>
      <c r="B91" s="14" t="s">
        <v>676</v>
      </c>
      <c r="C91" s="4" t="s">
        <v>677</v>
      </c>
      <c r="D91" s="4" t="s">
        <v>288</v>
      </c>
      <c r="E91" s="4" t="s">
        <v>501</v>
      </c>
      <c r="F91" s="43" t="s">
        <v>678</v>
      </c>
      <c r="G91" s="27" t="s">
        <v>508</v>
      </c>
      <c r="H91" s="8"/>
      <c r="I91" s="8"/>
      <c r="J91" s="4" t="s">
        <v>55</v>
      </c>
      <c r="K91" s="4" t="s">
        <v>679</v>
      </c>
      <c r="L91" s="4">
        <v>1</v>
      </c>
      <c r="M91" s="4">
        <v>1</v>
      </c>
      <c r="N91" s="4">
        <v>0</v>
      </c>
      <c r="O91" s="8"/>
      <c r="P91" s="45">
        <v>43388</v>
      </c>
      <c r="Q91" s="45">
        <v>43819</v>
      </c>
      <c r="R91" s="46">
        <v>0</v>
      </c>
      <c r="S91" s="8"/>
      <c r="T91" s="46"/>
      <c r="U91" s="4" t="s">
        <v>90</v>
      </c>
      <c r="V91" s="8"/>
      <c r="W91" s="8"/>
      <c r="X91" s="8"/>
      <c r="Y91" s="8"/>
      <c r="Z91" s="8"/>
      <c r="AA91" s="31"/>
      <c r="AB91" s="22" t="s">
        <v>680</v>
      </c>
      <c r="AC91" s="4" t="s">
        <v>681</v>
      </c>
      <c r="AD91" s="4" t="s">
        <v>682</v>
      </c>
      <c r="AE91" s="4" t="s">
        <v>683</v>
      </c>
      <c r="AF91" s="8"/>
      <c r="AG91" s="33"/>
      <c r="AH91" s="34"/>
      <c r="AI91" s="35"/>
    </row>
    <row r="92" spans="1:35" ht="140">
      <c r="A92" s="4">
        <v>37</v>
      </c>
      <c r="B92" s="14" t="s">
        <v>684</v>
      </c>
      <c r="C92" s="4" t="s">
        <v>685</v>
      </c>
      <c r="D92" s="4" t="s">
        <v>288</v>
      </c>
      <c r="E92" s="4" t="s">
        <v>501</v>
      </c>
      <c r="F92" s="43" t="s">
        <v>686</v>
      </c>
      <c r="G92" s="27" t="s">
        <v>508</v>
      </c>
      <c r="H92" s="8"/>
      <c r="I92" s="8"/>
      <c r="J92" s="4" t="s">
        <v>55</v>
      </c>
      <c r="K92" s="4" t="s">
        <v>687</v>
      </c>
      <c r="L92" s="4">
        <v>1</v>
      </c>
      <c r="M92" s="4">
        <v>0</v>
      </c>
      <c r="N92" s="4">
        <v>0</v>
      </c>
      <c r="O92" s="8"/>
      <c r="P92" s="45">
        <v>43388</v>
      </c>
      <c r="Q92" s="45">
        <v>43556</v>
      </c>
      <c r="R92" s="46">
        <v>0</v>
      </c>
      <c r="S92" s="8"/>
      <c r="T92" s="46"/>
      <c r="U92" s="4" t="s">
        <v>90</v>
      </c>
      <c r="V92" s="8"/>
      <c r="W92" s="8"/>
      <c r="X92" s="8"/>
      <c r="Y92" s="8"/>
      <c r="Z92" s="8"/>
      <c r="AA92" s="31"/>
      <c r="AB92" s="32"/>
      <c r="AC92" s="8"/>
      <c r="AD92" s="8"/>
      <c r="AE92" s="8"/>
      <c r="AF92" s="8"/>
      <c r="AG92" s="33"/>
      <c r="AH92" s="34"/>
      <c r="AI92" s="35"/>
    </row>
    <row r="93" spans="1:35" ht="112">
      <c r="A93" s="80">
        <v>38</v>
      </c>
      <c r="B93" s="73" t="s">
        <v>688</v>
      </c>
      <c r="C93" s="4" t="s">
        <v>689</v>
      </c>
      <c r="D93" s="2" t="s">
        <v>288</v>
      </c>
      <c r="E93" s="81" t="s">
        <v>501</v>
      </c>
      <c r="F93" s="82">
        <v>43896</v>
      </c>
      <c r="G93" s="18"/>
      <c r="H93" s="65"/>
      <c r="I93" s="65"/>
      <c r="J93" s="18" t="s">
        <v>55</v>
      </c>
      <c r="K93" s="18" t="s">
        <v>692</v>
      </c>
      <c r="L93" s="18">
        <v>1</v>
      </c>
      <c r="M93" s="65"/>
      <c r="N93" s="65"/>
      <c r="O93" s="65"/>
      <c r="P93" s="45">
        <v>43388</v>
      </c>
      <c r="Q93" s="63">
        <v>44531</v>
      </c>
      <c r="R93" s="71"/>
      <c r="S93" s="65"/>
      <c r="T93" s="71"/>
      <c r="U93" s="18" t="s">
        <v>90</v>
      </c>
      <c r="V93" s="65"/>
      <c r="W93" s="65"/>
      <c r="X93" s="65"/>
      <c r="Y93" s="65"/>
      <c r="Z93" s="65"/>
      <c r="AA93" s="31"/>
      <c r="AB93" s="32"/>
      <c r="AC93" s="8"/>
      <c r="AD93" s="8"/>
      <c r="AE93" s="8"/>
      <c r="AF93" s="8"/>
      <c r="AG93" s="33"/>
      <c r="AH93" s="34"/>
      <c r="AI93" s="35"/>
    </row>
    <row r="94" spans="1:35" ht="42">
      <c r="A94" s="80">
        <v>39</v>
      </c>
      <c r="B94" s="73" t="s">
        <v>693</v>
      </c>
      <c r="C94" s="4" t="s">
        <v>694</v>
      </c>
      <c r="D94" s="2"/>
      <c r="E94" s="81"/>
      <c r="F94" s="82"/>
      <c r="G94" s="18"/>
      <c r="H94" s="65"/>
      <c r="I94" s="65"/>
      <c r="J94" s="18" t="s">
        <v>55</v>
      </c>
      <c r="K94" s="65"/>
      <c r="L94" s="18">
        <v>1</v>
      </c>
      <c r="M94" s="65"/>
      <c r="N94" s="65"/>
      <c r="O94" s="65"/>
      <c r="P94" s="83"/>
      <c r="Q94" s="63"/>
      <c r="R94" s="71"/>
      <c r="S94" s="65"/>
      <c r="T94" s="71"/>
      <c r="U94" s="18" t="s">
        <v>90</v>
      </c>
      <c r="V94" s="65"/>
      <c r="W94" s="65"/>
      <c r="X94" s="65"/>
      <c r="Y94" s="65"/>
      <c r="Z94" s="65"/>
      <c r="AA94" s="31"/>
      <c r="AB94" s="32"/>
      <c r="AC94" s="8"/>
      <c r="AD94" s="8"/>
      <c r="AE94" s="8"/>
      <c r="AF94" s="8"/>
      <c r="AG94" s="33"/>
      <c r="AH94" s="34"/>
      <c r="AI94" s="35"/>
    </row>
    <row r="95" spans="1:35" ht="14">
      <c r="A95" s="36">
        <v>108</v>
      </c>
      <c r="B95" s="51" t="s">
        <v>695</v>
      </c>
      <c r="C95" s="38"/>
      <c r="D95" s="38"/>
      <c r="E95" s="38"/>
      <c r="F95" s="39"/>
      <c r="G95" s="84"/>
      <c r="H95" s="84"/>
      <c r="I95" s="84"/>
      <c r="J95" s="84"/>
      <c r="K95" s="84"/>
      <c r="L95" s="84"/>
      <c r="M95" s="84"/>
      <c r="N95" s="84"/>
      <c r="O95" s="84"/>
      <c r="P95" s="85"/>
      <c r="Q95" s="85"/>
      <c r="R95" s="86"/>
      <c r="S95" s="86"/>
      <c r="T95" s="86"/>
      <c r="U95" s="84"/>
      <c r="V95" s="8"/>
      <c r="W95" s="8"/>
      <c r="X95" s="8"/>
      <c r="Y95" s="8"/>
      <c r="Z95" s="8"/>
      <c r="AA95" s="31"/>
      <c r="AB95" s="32"/>
      <c r="AC95" s="8"/>
      <c r="AD95" s="8"/>
      <c r="AE95" s="8"/>
      <c r="AF95" s="8"/>
      <c r="AG95" s="33"/>
      <c r="AH95" s="34"/>
      <c r="AI95" s="35"/>
    </row>
    <row r="96" spans="1:35" ht="13">
      <c r="A96" s="8"/>
      <c r="B96" s="8"/>
      <c r="C96" s="8"/>
      <c r="D96" s="8"/>
      <c r="E96" s="8"/>
      <c r="F96" s="87"/>
      <c r="G96" s="8"/>
      <c r="H96" s="8"/>
      <c r="I96" s="8"/>
      <c r="J96" s="8"/>
      <c r="K96" s="8"/>
      <c r="L96" s="8"/>
      <c r="M96" s="8"/>
      <c r="N96" s="8"/>
      <c r="O96" s="8"/>
      <c r="P96" s="88"/>
      <c r="Q96" s="88"/>
      <c r="R96" s="49"/>
      <c r="S96" s="49"/>
      <c r="T96" s="49"/>
      <c r="U96" s="8"/>
      <c r="V96" s="8"/>
      <c r="W96" s="8"/>
      <c r="X96" s="8"/>
      <c r="Y96" s="8"/>
      <c r="Z96" s="8"/>
      <c r="AA96" s="31"/>
      <c r="AB96" s="32"/>
      <c r="AC96" s="8"/>
      <c r="AD96" s="8"/>
      <c r="AE96" s="8"/>
      <c r="AF96" s="8"/>
      <c r="AG96" s="33"/>
      <c r="AH96" s="34"/>
      <c r="AI96" s="35"/>
    </row>
    <row r="97" spans="1:35" ht="13">
      <c r="A97" s="8"/>
      <c r="B97" s="8"/>
      <c r="C97" s="8"/>
      <c r="D97" s="8"/>
      <c r="E97" s="8"/>
      <c r="F97" s="87"/>
      <c r="G97" s="8"/>
      <c r="H97" s="8"/>
      <c r="I97" s="8"/>
      <c r="J97" s="8"/>
      <c r="K97" s="8"/>
      <c r="L97" s="8"/>
      <c r="M97" s="8"/>
      <c r="N97" s="8"/>
      <c r="O97" s="8"/>
      <c r="P97" s="88"/>
      <c r="Q97" s="88"/>
      <c r="R97" s="49"/>
      <c r="S97" s="49"/>
      <c r="T97" s="49"/>
      <c r="U97" s="8"/>
      <c r="V97" s="8"/>
      <c r="W97" s="8"/>
      <c r="X97" s="8"/>
      <c r="Y97" s="8"/>
      <c r="Z97" s="8"/>
      <c r="AA97" s="31"/>
      <c r="AB97" s="32"/>
      <c r="AC97" s="8"/>
      <c r="AD97" s="8"/>
      <c r="AE97" s="8"/>
      <c r="AF97" s="8"/>
      <c r="AG97" s="33"/>
      <c r="AH97" s="34"/>
      <c r="AI97" s="35"/>
    </row>
    <row r="98" spans="1:35" ht="13">
      <c r="A98" s="8"/>
      <c r="B98" s="8"/>
      <c r="C98" s="8"/>
      <c r="D98" s="8"/>
      <c r="E98" s="8"/>
      <c r="F98" s="87"/>
      <c r="G98" s="8"/>
      <c r="H98" s="8"/>
      <c r="I98" s="8"/>
      <c r="J98" s="8"/>
      <c r="K98" s="8"/>
      <c r="L98" s="8"/>
      <c r="M98" s="8"/>
      <c r="N98" s="8"/>
      <c r="O98" s="8"/>
      <c r="P98" s="88"/>
      <c r="Q98" s="88"/>
      <c r="R98" s="49"/>
      <c r="S98" s="49"/>
      <c r="T98" s="49"/>
      <c r="U98" s="8"/>
      <c r="V98" s="8"/>
      <c r="W98" s="8"/>
      <c r="X98" s="8"/>
      <c r="Y98" s="8"/>
      <c r="Z98" s="8"/>
      <c r="AA98" s="31"/>
      <c r="AB98" s="32"/>
      <c r="AC98" s="8"/>
      <c r="AD98" s="8"/>
      <c r="AE98" s="8"/>
      <c r="AF98" s="8"/>
      <c r="AG98" s="33"/>
      <c r="AH98" s="34"/>
      <c r="AI98" s="35"/>
    </row>
    <row r="99" spans="1:35" ht="13">
      <c r="A99" s="8"/>
      <c r="B99" s="8"/>
      <c r="C99" s="8"/>
      <c r="D99" s="8"/>
      <c r="E99" s="8"/>
      <c r="F99" s="87"/>
      <c r="G99" s="8"/>
      <c r="H99" s="8"/>
      <c r="I99" s="8"/>
      <c r="J99" s="8"/>
      <c r="K99" s="8"/>
      <c r="L99" s="8"/>
      <c r="M99" s="8"/>
      <c r="N99" s="8"/>
      <c r="O99" s="8"/>
      <c r="P99" s="88"/>
      <c r="Q99" s="88"/>
      <c r="R99" s="49"/>
      <c r="S99" s="49"/>
      <c r="T99" s="49"/>
      <c r="U99" s="8"/>
      <c r="V99" s="8"/>
      <c r="W99" s="8"/>
      <c r="X99" s="8"/>
      <c r="Y99" s="8"/>
      <c r="Z99" s="8"/>
      <c r="AA99" s="31"/>
      <c r="AB99" s="32"/>
      <c r="AC99" s="8"/>
      <c r="AD99" s="8"/>
      <c r="AE99" s="8"/>
      <c r="AF99" s="8"/>
      <c r="AG99" s="33"/>
      <c r="AH99" s="34"/>
      <c r="AI99" s="35"/>
    </row>
    <row r="100" spans="1:35" ht="14">
      <c r="A100" s="36">
        <v>108</v>
      </c>
      <c r="B100" s="51" t="s">
        <v>700</v>
      </c>
      <c r="C100" s="38"/>
      <c r="D100" s="38"/>
      <c r="E100" s="38"/>
      <c r="F100" s="39"/>
      <c r="G100" s="38"/>
      <c r="H100" s="38"/>
      <c r="I100" s="38"/>
      <c r="J100" s="38"/>
      <c r="K100" s="38"/>
      <c r="L100" s="36">
        <v>1</v>
      </c>
      <c r="M100" s="38"/>
      <c r="N100" s="38"/>
      <c r="O100" s="38"/>
      <c r="P100" s="41"/>
      <c r="Q100" s="41"/>
      <c r="R100" s="42"/>
      <c r="S100" s="8"/>
      <c r="T100" s="42"/>
      <c r="U100" s="38"/>
      <c r="V100" s="8"/>
      <c r="W100" s="8"/>
      <c r="X100" s="8"/>
      <c r="Y100" s="8"/>
      <c r="Z100" s="8"/>
      <c r="AA100" s="31"/>
      <c r="AB100" s="32"/>
      <c r="AC100" s="8"/>
      <c r="AD100" s="8"/>
      <c r="AE100" s="8"/>
      <c r="AF100" s="8"/>
      <c r="AG100" s="33"/>
      <c r="AH100" s="34"/>
      <c r="AI100" s="35"/>
    </row>
    <row r="101" spans="1:35" ht="13">
      <c r="A101" s="8"/>
      <c r="B101" s="8"/>
      <c r="C101" s="8"/>
      <c r="D101" s="8"/>
      <c r="E101" s="8"/>
      <c r="F101" s="87"/>
      <c r="G101" s="8"/>
      <c r="H101" s="8"/>
      <c r="I101" s="8"/>
      <c r="J101" s="8"/>
      <c r="K101" s="8"/>
      <c r="L101" s="8"/>
      <c r="M101" s="8"/>
      <c r="N101" s="8"/>
      <c r="O101" s="8"/>
      <c r="P101" s="88"/>
      <c r="Q101" s="88"/>
      <c r="R101" s="49"/>
      <c r="S101" s="49"/>
      <c r="T101" s="49"/>
      <c r="U101" s="8"/>
      <c r="V101" s="8"/>
      <c r="W101" s="8"/>
      <c r="X101" s="8"/>
      <c r="Y101" s="8"/>
      <c r="Z101" s="8"/>
      <c r="AA101" s="31"/>
      <c r="AB101" s="32"/>
      <c r="AC101" s="8"/>
      <c r="AD101" s="8"/>
      <c r="AE101" s="8"/>
      <c r="AF101" s="8"/>
      <c r="AG101" s="33"/>
      <c r="AH101" s="34"/>
      <c r="AI101" s="35"/>
    </row>
    <row r="102" spans="1:35" ht="13">
      <c r="A102" s="8"/>
      <c r="B102" s="8"/>
      <c r="C102" s="8"/>
      <c r="D102" s="8"/>
      <c r="E102" s="8"/>
      <c r="F102" s="87"/>
      <c r="G102" s="8"/>
      <c r="H102" s="8"/>
      <c r="I102" s="8"/>
      <c r="J102" s="8"/>
      <c r="K102" s="8"/>
      <c r="L102" s="8"/>
      <c r="M102" s="8"/>
      <c r="N102" s="8"/>
      <c r="O102" s="8"/>
      <c r="P102" s="88"/>
      <c r="Q102" s="88"/>
      <c r="R102" s="49"/>
      <c r="S102" s="49"/>
      <c r="T102" s="49"/>
      <c r="U102" s="8"/>
      <c r="V102" s="8"/>
      <c r="W102" s="8"/>
      <c r="X102" s="8"/>
      <c r="Y102" s="8"/>
      <c r="Z102" s="8"/>
      <c r="AA102" s="31"/>
      <c r="AB102" s="32"/>
      <c r="AC102" s="8"/>
      <c r="AD102" s="8"/>
      <c r="AE102" s="8"/>
      <c r="AF102" s="8"/>
      <c r="AG102" s="33"/>
      <c r="AH102" s="34"/>
      <c r="AI102" s="35"/>
    </row>
    <row r="103" spans="1:35" ht="13">
      <c r="A103" s="8"/>
      <c r="B103" s="8"/>
      <c r="C103" s="8"/>
      <c r="D103" s="8"/>
      <c r="E103" s="8"/>
      <c r="F103" s="87"/>
      <c r="G103" s="8"/>
      <c r="H103" s="8"/>
      <c r="I103" s="8"/>
      <c r="J103" s="8"/>
      <c r="K103" s="8"/>
      <c r="L103" s="8"/>
      <c r="M103" s="8"/>
      <c r="N103" s="8"/>
      <c r="O103" s="8"/>
      <c r="P103" s="88"/>
      <c r="Q103" s="88"/>
      <c r="R103" s="49"/>
      <c r="S103" s="49"/>
      <c r="T103" s="49"/>
      <c r="U103" s="8"/>
      <c r="V103" s="8"/>
      <c r="W103" s="8"/>
      <c r="X103" s="8"/>
      <c r="Y103" s="8"/>
      <c r="Z103" s="8"/>
      <c r="AA103" s="31"/>
      <c r="AB103" s="32"/>
      <c r="AC103" s="8"/>
      <c r="AD103" s="8"/>
      <c r="AE103" s="8"/>
      <c r="AF103" s="8"/>
      <c r="AG103" s="33"/>
      <c r="AH103" s="34"/>
      <c r="AI103" s="35"/>
    </row>
    <row r="104" spans="1:35" ht="13">
      <c r="A104" s="8"/>
      <c r="B104" s="8"/>
      <c r="C104" s="8"/>
      <c r="D104" s="8"/>
      <c r="E104" s="8"/>
      <c r="F104" s="87"/>
      <c r="G104" s="8"/>
      <c r="H104" s="8"/>
      <c r="I104" s="8"/>
      <c r="J104" s="8"/>
      <c r="K104" s="8"/>
      <c r="L104" s="8"/>
      <c r="M104" s="8"/>
      <c r="N104" s="8"/>
      <c r="O104" s="8"/>
      <c r="P104" s="88"/>
      <c r="Q104" s="88"/>
      <c r="R104" s="49"/>
      <c r="S104" s="49"/>
      <c r="T104" s="49"/>
      <c r="U104" s="8"/>
      <c r="V104" s="8"/>
      <c r="W104" s="8"/>
      <c r="X104" s="8"/>
      <c r="Y104" s="8"/>
      <c r="Z104" s="8"/>
      <c r="AA104" s="31"/>
      <c r="AB104" s="32"/>
      <c r="AC104" s="8"/>
      <c r="AD104" s="8"/>
      <c r="AE104" s="8"/>
      <c r="AF104" s="8"/>
      <c r="AG104" s="33"/>
      <c r="AH104" s="34"/>
      <c r="AI104" s="35"/>
    </row>
    <row r="105" spans="1:35" ht="28">
      <c r="A105" s="91"/>
      <c r="B105" s="92" t="s">
        <v>716</v>
      </c>
      <c r="C105" s="91"/>
      <c r="D105" s="91"/>
      <c r="E105" s="91"/>
      <c r="F105" s="93"/>
      <c r="G105" s="91"/>
      <c r="H105" s="91"/>
      <c r="I105" s="91"/>
      <c r="J105" s="91"/>
      <c r="K105" s="91"/>
      <c r="L105" s="91"/>
      <c r="M105" s="91"/>
      <c r="N105" s="91"/>
      <c r="O105" s="91"/>
      <c r="P105" s="94"/>
      <c r="Q105" s="94"/>
      <c r="R105" s="95"/>
      <c r="S105" s="95"/>
      <c r="T105" s="95"/>
      <c r="U105" s="91"/>
      <c r="V105" s="91"/>
      <c r="W105" s="91"/>
      <c r="X105" s="91"/>
      <c r="Y105" s="91"/>
      <c r="Z105" s="91"/>
      <c r="AA105" s="96"/>
      <c r="AB105" s="97"/>
      <c r="AC105" s="91"/>
      <c r="AD105" s="91"/>
      <c r="AE105" s="91"/>
      <c r="AF105" s="91"/>
      <c r="AG105" s="98"/>
      <c r="AH105" s="34"/>
      <c r="AI105" s="35"/>
    </row>
    <row r="106" spans="1:35" ht="120">
      <c r="A106" s="4">
        <v>1</v>
      </c>
      <c r="B106" s="4" t="s">
        <v>731</v>
      </c>
      <c r="C106" s="4" t="s">
        <v>732</v>
      </c>
      <c r="D106" s="4" t="s">
        <v>720</v>
      </c>
      <c r="E106" s="4" t="s">
        <v>733</v>
      </c>
      <c r="F106" s="43" t="s">
        <v>290</v>
      </c>
      <c r="G106" s="4" t="s">
        <v>508</v>
      </c>
      <c r="H106" s="4" t="s">
        <v>508</v>
      </c>
      <c r="I106" s="99" t="s">
        <v>734</v>
      </c>
      <c r="J106" s="4" t="s">
        <v>735</v>
      </c>
      <c r="K106" s="8"/>
      <c r="L106" s="8"/>
      <c r="M106" s="8"/>
      <c r="N106" s="8"/>
      <c r="O106" s="8"/>
      <c r="P106" s="45">
        <v>43374</v>
      </c>
      <c r="Q106" s="45">
        <v>45657</v>
      </c>
      <c r="R106" s="49">
        <f t="shared" ref="R106:R121" si="0">SUM(V106:AA106)</f>
        <v>0</v>
      </c>
      <c r="S106" s="49">
        <f t="shared" ref="S106:S121" si="1">SUM(V106:Y106)</f>
        <v>0</v>
      </c>
      <c r="T106" s="49">
        <f t="shared" ref="T106:T121" si="2">SUM(AB106:AE106)</f>
        <v>0</v>
      </c>
      <c r="U106" s="8"/>
      <c r="V106" s="8"/>
      <c r="W106" s="8"/>
      <c r="X106" s="8"/>
      <c r="Y106" s="8"/>
      <c r="Z106" s="8"/>
      <c r="AA106" s="31"/>
      <c r="AB106" s="32"/>
      <c r="AC106" s="8"/>
      <c r="AD106" s="8"/>
      <c r="AE106" s="8"/>
      <c r="AF106" s="8"/>
      <c r="AG106" s="33"/>
      <c r="AH106" s="34"/>
      <c r="AI106" s="35"/>
    </row>
    <row r="107" spans="1:35" ht="154">
      <c r="A107" s="4">
        <v>2</v>
      </c>
      <c r="B107" s="4" t="s">
        <v>745</v>
      </c>
      <c r="C107" s="4" t="s">
        <v>746</v>
      </c>
      <c r="D107" s="4" t="s">
        <v>720</v>
      </c>
      <c r="E107" s="4" t="s">
        <v>733</v>
      </c>
      <c r="F107" s="43" t="s">
        <v>309</v>
      </c>
      <c r="G107" s="4">
        <v>15</v>
      </c>
      <c r="H107" s="4">
        <v>2</v>
      </c>
      <c r="I107" s="99" t="s">
        <v>753</v>
      </c>
      <c r="J107" s="4" t="s">
        <v>735</v>
      </c>
      <c r="K107" s="8"/>
      <c r="L107" s="8"/>
      <c r="M107" s="8"/>
      <c r="N107" s="8"/>
      <c r="O107" s="8"/>
      <c r="P107" s="45">
        <v>43374</v>
      </c>
      <c r="Q107" s="45">
        <v>45657</v>
      </c>
      <c r="R107" s="49">
        <f t="shared" si="0"/>
        <v>0</v>
      </c>
      <c r="S107" s="49">
        <f t="shared" si="1"/>
        <v>0</v>
      </c>
      <c r="T107" s="49">
        <f t="shared" si="2"/>
        <v>0</v>
      </c>
      <c r="U107" s="8"/>
      <c r="V107" s="8"/>
      <c r="W107" s="8"/>
      <c r="X107" s="8"/>
      <c r="Y107" s="8"/>
      <c r="Z107" s="8"/>
      <c r="AA107" s="31"/>
      <c r="AB107" s="32"/>
      <c r="AC107" s="8"/>
      <c r="AD107" s="8"/>
      <c r="AE107" s="8"/>
      <c r="AF107" s="8"/>
      <c r="AG107" s="33"/>
      <c r="AH107" s="34"/>
      <c r="AI107" s="35"/>
    </row>
    <row r="108" spans="1:35" ht="42">
      <c r="A108" s="4">
        <v>3</v>
      </c>
      <c r="B108" s="4" t="s">
        <v>755</v>
      </c>
      <c r="C108" s="4" t="s">
        <v>756</v>
      </c>
      <c r="D108" s="4" t="s">
        <v>720</v>
      </c>
      <c r="E108" s="4" t="s">
        <v>733</v>
      </c>
      <c r="F108" s="43" t="s">
        <v>317</v>
      </c>
      <c r="G108" s="4" t="s">
        <v>508</v>
      </c>
      <c r="H108" s="4" t="s">
        <v>508</v>
      </c>
      <c r="I108" s="8"/>
      <c r="J108" s="4" t="s">
        <v>735</v>
      </c>
      <c r="K108" s="8"/>
      <c r="L108" s="8"/>
      <c r="M108" s="8"/>
      <c r="N108" s="8"/>
      <c r="O108" s="8"/>
      <c r="P108" s="45">
        <v>43374</v>
      </c>
      <c r="Q108" s="45">
        <v>43710</v>
      </c>
      <c r="R108" s="49">
        <f t="shared" si="0"/>
        <v>0</v>
      </c>
      <c r="S108" s="49">
        <f t="shared" si="1"/>
        <v>0</v>
      </c>
      <c r="T108" s="49">
        <f t="shared" si="2"/>
        <v>0</v>
      </c>
      <c r="U108" s="46" t="s">
        <v>757</v>
      </c>
      <c r="V108" s="8"/>
      <c r="W108" s="8"/>
      <c r="X108" s="8"/>
      <c r="Y108" s="8"/>
      <c r="Z108" s="8"/>
      <c r="AA108" s="31"/>
      <c r="AB108" s="32"/>
      <c r="AC108" s="8"/>
      <c r="AD108" s="8"/>
      <c r="AE108" s="8"/>
      <c r="AF108" s="8"/>
      <c r="AG108" s="33"/>
      <c r="AH108" s="34"/>
      <c r="AI108" s="35"/>
    </row>
    <row r="109" spans="1:35" ht="140">
      <c r="A109" s="4">
        <v>4</v>
      </c>
      <c r="B109" s="4" t="s">
        <v>759</v>
      </c>
      <c r="C109" s="4" t="s">
        <v>760</v>
      </c>
      <c r="D109" s="4" t="s">
        <v>720</v>
      </c>
      <c r="E109" s="4" t="s">
        <v>733</v>
      </c>
      <c r="F109" s="43" t="s">
        <v>322</v>
      </c>
      <c r="G109" s="4" t="s">
        <v>508</v>
      </c>
      <c r="H109" s="4" t="s">
        <v>508</v>
      </c>
      <c r="I109" s="8"/>
      <c r="J109" s="4" t="s">
        <v>735</v>
      </c>
      <c r="K109" s="8"/>
      <c r="L109" s="8"/>
      <c r="M109" s="8"/>
      <c r="N109" s="8"/>
      <c r="O109" s="8"/>
      <c r="P109" s="45">
        <v>43374</v>
      </c>
      <c r="Q109" s="45">
        <v>45657</v>
      </c>
      <c r="R109" s="49">
        <f t="shared" si="0"/>
        <v>0</v>
      </c>
      <c r="S109" s="49">
        <f t="shared" si="1"/>
        <v>0</v>
      </c>
      <c r="T109" s="49">
        <f t="shared" si="2"/>
        <v>0</v>
      </c>
      <c r="U109" s="46" t="s">
        <v>757</v>
      </c>
      <c r="V109" s="8"/>
      <c r="W109" s="8"/>
      <c r="X109" s="8"/>
      <c r="Y109" s="8"/>
      <c r="Z109" s="8"/>
      <c r="AA109" s="31"/>
      <c r="AB109" s="32"/>
      <c r="AC109" s="8"/>
      <c r="AD109" s="8"/>
      <c r="AE109" s="8"/>
      <c r="AF109" s="8"/>
      <c r="AG109" s="33"/>
      <c r="AH109" s="34"/>
      <c r="AI109" s="35"/>
    </row>
    <row r="110" spans="1:35" ht="154">
      <c r="A110" s="4">
        <v>5</v>
      </c>
      <c r="B110" s="4" t="s">
        <v>793</v>
      </c>
      <c r="C110" s="4" t="s">
        <v>797</v>
      </c>
      <c r="D110" s="4" t="s">
        <v>720</v>
      </c>
      <c r="E110" s="4" t="s">
        <v>733</v>
      </c>
      <c r="F110" s="43" t="s">
        <v>329</v>
      </c>
      <c r="G110" s="4" t="s">
        <v>508</v>
      </c>
      <c r="H110" s="4" t="s">
        <v>508</v>
      </c>
      <c r="I110" s="8"/>
      <c r="J110" s="4" t="s">
        <v>55</v>
      </c>
      <c r="K110" s="8"/>
      <c r="L110" s="8"/>
      <c r="M110" s="8"/>
      <c r="N110" s="8"/>
      <c r="O110" s="8"/>
      <c r="P110" s="45">
        <v>43374</v>
      </c>
      <c r="Q110" s="45">
        <v>43798</v>
      </c>
      <c r="R110" s="49">
        <f t="shared" si="0"/>
        <v>0</v>
      </c>
      <c r="S110" s="49">
        <f t="shared" si="1"/>
        <v>0</v>
      </c>
      <c r="T110" s="49">
        <f t="shared" si="2"/>
        <v>0</v>
      </c>
      <c r="U110" s="46" t="s">
        <v>757</v>
      </c>
      <c r="V110" s="8"/>
      <c r="W110" s="8"/>
      <c r="X110" s="8"/>
      <c r="Y110" s="8"/>
      <c r="Z110" s="8"/>
      <c r="AA110" s="31"/>
      <c r="AB110" s="32"/>
      <c r="AC110" s="8"/>
      <c r="AD110" s="8"/>
      <c r="AE110" s="8"/>
      <c r="AF110" s="8"/>
      <c r="AG110" s="33"/>
      <c r="AH110" s="34"/>
      <c r="AI110" s="35"/>
    </row>
    <row r="111" spans="1:35" ht="112">
      <c r="A111" s="4">
        <v>6</v>
      </c>
      <c r="B111" s="4" t="s">
        <v>850</v>
      </c>
      <c r="C111" s="4" t="s">
        <v>853</v>
      </c>
      <c r="D111" s="4" t="s">
        <v>720</v>
      </c>
      <c r="E111" s="4" t="s">
        <v>733</v>
      </c>
      <c r="F111" s="43" t="s">
        <v>357</v>
      </c>
      <c r="G111" s="4">
        <v>15</v>
      </c>
      <c r="H111" s="4">
        <v>5</v>
      </c>
      <c r="I111" s="4" t="s">
        <v>865</v>
      </c>
      <c r="J111" s="4" t="s">
        <v>735</v>
      </c>
      <c r="K111" s="8"/>
      <c r="L111" s="8"/>
      <c r="M111" s="8"/>
      <c r="N111" s="8"/>
      <c r="O111" s="8"/>
      <c r="P111" s="45">
        <v>43374</v>
      </c>
      <c r="Q111" s="45">
        <v>45656</v>
      </c>
      <c r="R111" s="49">
        <f t="shared" si="0"/>
        <v>250</v>
      </c>
      <c r="S111" s="49">
        <f t="shared" si="1"/>
        <v>230</v>
      </c>
      <c r="T111" s="49">
        <f t="shared" si="2"/>
        <v>230</v>
      </c>
      <c r="U111" s="46" t="s">
        <v>757</v>
      </c>
      <c r="V111" s="4">
        <v>200</v>
      </c>
      <c r="W111" s="4">
        <v>10</v>
      </c>
      <c r="X111" s="4">
        <v>10</v>
      </c>
      <c r="Y111" s="4">
        <v>10</v>
      </c>
      <c r="Z111" s="4">
        <v>10</v>
      </c>
      <c r="AA111" s="21">
        <v>10</v>
      </c>
      <c r="AB111" s="22">
        <v>200</v>
      </c>
      <c r="AC111" s="4">
        <v>10</v>
      </c>
      <c r="AD111" s="4">
        <v>10</v>
      </c>
      <c r="AE111" s="4">
        <v>10</v>
      </c>
      <c r="AF111" s="4">
        <v>10</v>
      </c>
      <c r="AG111" s="23">
        <v>10</v>
      </c>
      <c r="AH111" s="47" t="s">
        <v>910</v>
      </c>
      <c r="AI111" s="35"/>
    </row>
    <row r="112" spans="1:35" ht="168">
      <c r="A112" s="4">
        <v>7</v>
      </c>
      <c r="B112" s="4" t="s">
        <v>913</v>
      </c>
      <c r="C112" s="4" t="s">
        <v>915</v>
      </c>
      <c r="D112" s="4" t="s">
        <v>720</v>
      </c>
      <c r="E112" s="4" t="s">
        <v>733</v>
      </c>
      <c r="F112" s="43" t="s">
        <v>360</v>
      </c>
      <c r="G112" s="4" t="s">
        <v>508</v>
      </c>
      <c r="H112" s="4" t="s">
        <v>508</v>
      </c>
      <c r="I112" s="8"/>
      <c r="J112" s="4" t="s">
        <v>735</v>
      </c>
      <c r="K112" s="8"/>
      <c r="L112" s="8"/>
      <c r="M112" s="8"/>
      <c r="N112" s="8"/>
      <c r="O112" s="8"/>
      <c r="P112" s="45">
        <v>43374</v>
      </c>
      <c r="Q112" s="45">
        <v>45644</v>
      </c>
      <c r="R112" s="49">
        <f t="shared" si="0"/>
        <v>0</v>
      </c>
      <c r="S112" s="49">
        <f t="shared" si="1"/>
        <v>0</v>
      </c>
      <c r="T112" s="49">
        <f t="shared" si="2"/>
        <v>0</v>
      </c>
      <c r="U112" s="46" t="s">
        <v>90</v>
      </c>
      <c r="V112" s="8"/>
      <c r="W112" s="8"/>
      <c r="X112" s="8"/>
      <c r="Y112" s="8"/>
      <c r="Z112" s="8"/>
      <c r="AA112" s="31"/>
      <c r="AB112" s="32"/>
      <c r="AC112" s="8"/>
      <c r="AD112" s="8"/>
      <c r="AE112" s="8"/>
      <c r="AF112" s="8"/>
      <c r="AG112" s="33"/>
      <c r="AH112" s="34"/>
      <c r="AI112" s="35"/>
    </row>
    <row r="113" spans="1:35" ht="112">
      <c r="A113" s="4">
        <v>8</v>
      </c>
      <c r="B113" s="4" t="s">
        <v>920</v>
      </c>
      <c r="C113" s="4" t="s">
        <v>921</v>
      </c>
      <c r="D113" s="4" t="s">
        <v>720</v>
      </c>
      <c r="E113" s="4" t="s">
        <v>733</v>
      </c>
      <c r="F113" s="43" t="s">
        <v>466</v>
      </c>
      <c r="G113" s="4">
        <v>15</v>
      </c>
      <c r="H113" s="4">
        <v>7</v>
      </c>
      <c r="I113" s="4" t="s">
        <v>865</v>
      </c>
      <c r="J113" s="8"/>
      <c r="K113" s="8"/>
      <c r="L113" s="8"/>
      <c r="M113" s="8"/>
      <c r="N113" s="8"/>
      <c r="O113" s="8"/>
      <c r="P113" s="45">
        <v>43374</v>
      </c>
      <c r="Q113" s="45">
        <v>45656</v>
      </c>
      <c r="R113" s="49">
        <f t="shared" si="0"/>
        <v>4734</v>
      </c>
      <c r="S113" s="49">
        <f t="shared" si="1"/>
        <v>3156</v>
      </c>
      <c r="T113" s="49">
        <f t="shared" si="2"/>
        <v>3156</v>
      </c>
      <c r="U113" s="4"/>
      <c r="V113" s="4">
        <v>789</v>
      </c>
      <c r="W113" s="4">
        <v>789</v>
      </c>
      <c r="X113" s="4">
        <v>789</v>
      </c>
      <c r="Y113" s="4">
        <v>789</v>
      </c>
      <c r="Z113" s="4">
        <v>789</v>
      </c>
      <c r="AA113" s="21">
        <v>789</v>
      </c>
      <c r="AB113" s="22">
        <v>789</v>
      </c>
      <c r="AC113" s="4">
        <v>789</v>
      </c>
      <c r="AD113" s="4">
        <v>789</v>
      </c>
      <c r="AE113" s="4">
        <v>789</v>
      </c>
      <c r="AF113" s="4">
        <v>789</v>
      </c>
      <c r="AG113" s="23">
        <v>789</v>
      </c>
      <c r="AH113" s="47" t="s">
        <v>922</v>
      </c>
      <c r="AI113" s="35"/>
    </row>
    <row r="114" spans="1:35" ht="56">
      <c r="A114" s="4">
        <v>9</v>
      </c>
      <c r="B114" s="4" t="s">
        <v>924</v>
      </c>
      <c r="C114" s="4" t="s">
        <v>925</v>
      </c>
      <c r="D114" s="4" t="s">
        <v>720</v>
      </c>
      <c r="E114" s="4" t="s">
        <v>733</v>
      </c>
      <c r="F114" s="43" t="s">
        <v>474</v>
      </c>
      <c r="G114" s="8"/>
      <c r="H114" s="8"/>
      <c r="I114" s="8"/>
      <c r="J114" s="8"/>
      <c r="K114" s="8"/>
      <c r="L114" s="8"/>
      <c r="M114" s="8"/>
      <c r="N114" s="8"/>
      <c r="O114" s="8"/>
      <c r="P114" s="45">
        <v>43374</v>
      </c>
      <c r="Q114" s="45">
        <v>45657</v>
      </c>
      <c r="R114" s="49">
        <f t="shared" si="0"/>
        <v>0</v>
      </c>
      <c r="S114" s="49">
        <f t="shared" si="1"/>
        <v>0</v>
      </c>
      <c r="T114" s="49">
        <f t="shared" si="2"/>
        <v>0</v>
      </c>
      <c r="U114" s="8"/>
      <c r="V114" s="8"/>
      <c r="W114" s="8"/>
      <c r="X114" s="8"/>
      <c r="Y114" s="8"/>
      <c r="Z114" s="8"/>
      <c r="AA114" s="31"/>
      <c r="AB114" s="32"/>
      <c r="AC114" s="8"/>
      <c r="AD114" s="8"/>
      <c r="AE114" s="8"/>
      <c r="AF114" s="8"/>
      <c r="AG114" s="33"/>
      <c r="AH114" s="34"/>
      <c r="AI114" s="35"/>
    </row>
    <row r="115" spans="1:35" ht="42">
      <c r="A115" s="4">
        <v>10</v>
      </c>
      <c r="B115" s="4" t="s">
        <v>952</v>
      </c>
      <c r="C115" s="4" t="s">
        <v>954</v>
      </c>
      <c r="D115" s="4" t="s">
        <v>720</v>
      </c>
      <c r="E115" s="4" t="s">
        <v>733</v>
      </c>
      <c r="F115" s="43" t="s">
        <v>477</v>
      </c>
      <c r="G115" s="8"/>
      <c r="H115" s="8"/>
      <c r="I115" s="8"/>
      <c r="J115" s="8"/>
      <c r="K115" s="8"/>
      <c r="L115" s="8"/>
      <c r="M115" s="8"/>
      <c r="N115" s="8"/>
      <c r="O115" s="8"/>
      <c r="P115" s="45">
        <v>43374</v>
      </c>
      <c r="Q115" s="45">
        <v>45657</v>
      </c>
      <c r="R115" s="49">
        <f t="shared" si="0"/>
        <v>0</v>
      </c>
      <c r="S115" s="49">
        <f t="shared" si="1"/>
        <v>0</v>
      </c>
      <c r="T115" s="49">
        <f t="shared" si="2"/>
        <v>0</v>
      </c>
      <c r="U115" s="8"/>
      <c r="V115" s="8"/>
      <c r="W115" s="8"/>
      <c r="X115" s="8"/>
      <c r="Y115" s="8"/>
      <c r="Z115" s="8"/>
      <c r="AA115" s="31"/>
      <c r="AB115" s="32"/>
      <c r="AC115" s="8"/>
      <c r="AD115" s="8"/>
      <c r="AE115" s="8"/>
      <c r="AF115" s="8"/>
      <c r="AG115" s="33"/>
      <c r="AH115" s="34"/>
      <c r="AI115" s="35"/>
    </row>
    <row r="116" spans="1:35" ht="42">
      <c r="A116" s="4">
        <v>11</v>
      </c>
      <c r="B116" s="4" t="s">
        <v>997</v>
      </c>
      <c r="C116" s="4" t="s">
        <v>1000</v>
      </c>
      <c r="D116" s="4"/>
      <c r="E116" s="4"/>
      <c r="F116" s="43"/>
      <c r="G116" s="8"/>
      <c r="H116" s="8"/>
      <c r="I116" s="8"/>
      <c r="J116" s="8"/>
      <c r="K116" s="8"/>
      <c r="L116" s="8"/>
      <c r="M116" s="8"/>
      <c r="N116" s="8"/>
      <c r="O116" s="8"/>
      <c r="P116" s="45">
        <v>43374</v>
      </c>
      <c r="Q116" s="45">
        <v>45657</v>
      </c>
      <c r="R116" s="49">
        <f t="shared" si="0"/>
        <v>0</v>
      </c>
      <c r="S116" s="49">
        <f t="shared" si="1"/>
        <v>0</v>
      </c>
      <c r="T116" s="49">
        <f t="shared" si="2"/>
        <v>0</v>
      </c>
      <c r="U116" s="8"/>
      <c r="V116" s="8"/>
      <c r="W116" s="8"/>
      <c r="X116" s="8"/>
      <c r="Y116" s="8"/>
      <c r="Z116" s="8"/>
      <c r="AA116" s="31"/>
      <c r="AB116" s="32"/>
      <c r="AC116" s="8"/>
      <c r="AD116" s="8"/>
      <c r="AE116" s="8"/>
      <c r="AF116" s="8"/>
      <c r="AG116" s="33"/>
      <c r="AH116" s="34"/>
      <c r="AI116" s="35"/>
    </row>
    <row r="117" spans="1:35" ht="70">
      <c r="A117" s="4">
        <v>12</v>
      </c>
      <c r="B117" s="4" t="s">
        <v>1005</v>
      </c>
      <c r="C117" s="4" t="s">
        <v>1006</v>
      </c>
      <c r="D117" s="4" t="s">
        <v>720</v>
      </c>
      <c r="E117" s="4" t="s">
        <v>733</v>
      </c>
      <c r="F117" s="43" t="s">
        <v>1007</v>
      </c>
      <c r="G117" s="8"/>
      <c r="H117" s="8"/>
      <c r="I117" s="8"/>
      <c r="J117" s="8"/>
      <c r="K117" s="8"/>
      <c r="L117" s="8"/>
      <c r="M117" s="8"/>
      <c r="N117" s="8"/>
      <c r="O117" s="8"/>
      <c r="P117" s="45">
        <v>43374</v>
      </c>
      <c r="Q117" s="45">
        <v>43465</v>
      </c>
      <c r="R117" s="49">
        <f t="shared" si="0"/>
        <v>0</v>
      </c>
      <c r="S117" s="49">
        <f t="shared" si="1"/>
        <v>0</v>
      </c>
      <c r="T117" s="49">
        <f t="shared" si="2"/>
        <v>0</v>
      </c>
      <c r="U117" s="8"/>
      <c r="V117" s="8"/>
      <c r="W117" s="8"/>
      <c r="X117" s="8"/>
      <c r="Y117" s="8"/>
      <c r="Z117" s="8"/>
      <c r="AA117" s="31"/>
      <c r="AB117" s="32"/>
      <c r="AC117" s="8"/>
      <c r="AD117" s="8"/>
      <c r="AE117" s="8"/>
      <c r="AF117" s="8"/>
      <c r="AG117" s="33"/>
      <c r="AH117" s="34"/>
      <c r="AI117" s="35"/>
    </row>
    <row r="118" spans="1:35" ht="56">
      <c r="A118" s="4">
        <v>13</v>
      </c>
      <c r="B118" s="4" t="s">
        <v>1008</v>
      </c>
      <c r="C118" s="4" t="s">
        <v>1009</v>
      </c>
      <c r="D118" s="4" t="s">
        <v>720</v>
      </c>
      <c r="E118" s="4" t="s">
        <v>733</v>
      </c>
      <c r="F118" s="43" t="s">
        <v>635</v>
      </c>
      <c r="G118" s="4"/>
      <c r="H118" s="4"/>
      <c r="I118" s="4"/>
      <c r="J118" s="8"/>
      <c r="K118" s="8"/>
      <c r="L118" s="8"/>
      <c r="M118" s="8"/>
      <c r="N118" s="8"/>
      <c r="O118" s="8"/>
      <c r="P118" s="45">
        <v>43374</v>
      </c>
      <c r="Q118" s="45">
        <v>43465</v>
      </c>
      <c r="R118" s="49">
        <f t="shared" si="0"/>
        <v>0</v>
      </c>
      <c r="S118" s="49">
        <f t="shared" si="1"/>
        <v>0</v>
      </c>
      <c r="T118" s="49">
        <f t="shared" si="2"/>
        <v>0</v>
      </c>
      <c r="U118" s="8"/>
      <c r="V118" s="8"/>
      <c r="W118" s="8"/>
      <c r="X118" s="8"/>
      <c r="Y118" s="8"/>
      <c r="Z118" s="8"/>
      <c r="AA118" s="31"/>
      <c r="AB118" s="32"/>
      <c r="AC118" s="8"/>
      <c r="AD118" s="8"/>
      <c r="AE118" s="8"/>
      <c r="AF118" s="8"/>
      <c r="AG118" s="33"/>
      <c r="AH118" s="34"/>
      <c r="AI118" s="35"/>
    </row>
    <row r="119" spans="1:35" ht="98">
      <c r="A119" s="4">
        <v>14</v>
      </c>
      <c r="B119" s="4" t="s">
        <v>1012</v>
      </c>
      <c r="C119" s="4" t="s">
        <v>1013</v>
      </c>
      <c r="D119" s="4" t="s">
        <v>720</v>
      </c>
      <c r="E119" s="4" t="s">
        <v>733</v>
      </c>
      <c r="F119" s="43" t="s">
        <v>1014</v>
      </c>
      <c r="G119" s="4">
        <v>15</v>
      </c>
      <c r="H119" s="4">
        <v>7</v>
      </c>
      <c r="I119" s="4" t="s">
        <v>865</v>
      </c>
      <c r="J119" s="8"/>
      <c r="K119" s="8"/>
      <c r="L119" s="8"/>
      <c r="M119" s="8"/>
      <c r="N119" s="8"/>
      <c r="O119" s="4" t="s">
        <v>222</v>
      </c>
      <c r="P119" s="45">
        <v>43374</v>
      </c>
      <c r="Q119" s="45">
        <v>43465</v>
      </c>
      <c r="R119" s="49">
        <f t="shared" si="0"/>
        <v>561</v>
      </c>
      <c r="S119" s="49">
        <f t="shared" si="1"/>
        <v>308.5</v>
      </c>
      <c r="T119" s="49">
        <f t="shared" si="2"/>
        <v>64</v>
      </c>
      <c r="U119" s="4"/>
      <c r="V119" s="4">
        <v>64</v>
      </c>
      <c r="W119" s="4">
        <v>69.900000000000006</v>
      </c>
      <c r="X119" s="4">
        <v>84.7</v>
      </c>
      <c r="Y119" s="4">
        <v>89.9</v>
      </c>
      <c r="Z119" s="4">
        <v>111.1</v>
      </c>
      <c r="AA119" s="21">
        <v>141.4</v>
      </c>
      <c r="AB119" s="22">
        <v>64</v>
      </c>
      <c r="AC119" s="4" t="s">
        <v>1015</v>
      </c>
      <c r="AD119" s="4" t="s">
        <v>1016</v>
      </c>
      <c r="AE119" s="4" t="s">
        <v>1017</v>
      </c>
      <c r="AF119" s="4" t="s">
        <v>1018</v>
      </c>
      <c r="AG119" s="23" t="s">
        <v>1019</v>
      </c>
      <c r="AH119" s="47" t="s">
        <v>1020</v>
      </c>
      <c r="AI119" s="35"/>
    </row>
    <row r="120" spans="1:35" ht="84">
      <c r="A120" s="4">
        <v>15</v>
      </c>
      <c r="B120" s="4" t="s">
        <v>1021</v>
      </c>
      <c r="C120" s="4" t="s">
        <v>1022</v>
      </c>
      <c r="D120" s="4" t="s">
        <v>720</v>
      </c>
      <c r="E120" s="4" t="s">
        <v>733</v>
      </c>
      <c r="F120" s="43" t="s">
        <v>1023</v>
      </c>
      <c r="G120" s="8"/>
      <c r="H120" s="8"/>
      <c r="I120" s="8"/>
      <c r="J120" s="8"/>
      <c r="K120" s="8"/>
      <c r="L120" s="8"/>
      <c r="M120" s="8"/>
      <c r="N120" s="8"/>
      <c r="O120" s="8"/>
      <c r="P120" s="45">
        <v>43374</v>
      </c>
      <c r="Q120" s="45">
        <v>45657</v>
      </c>
      <c r="R120" s="49">
        <f t="shared" si="0"/>
        <v>0</v>
      </c>
      <c r="S120" s="49">
        <f t="shared" si="1"/>
        <v>0</v>
      </c>
      <c r="T120" s="49">
        <f t="shared" si="2"/>
        <v>0</v>
      </c>
      <c r="U120" s="8"/>
      <c r="V120" s="8"/>
      <c r="W120" s="8"/>
      <c r="X120" s="8"/>
      <c r="Y120" s="8"/>
      <c r="Z120" s="8"/>
      <c r="AA120" s="31"/>
      <c r="AB120" s="32"/>
      <c r="AC120" s="8"/>
      <c r="AD120" s="8"/>
      <c r="AE120" s="8"/>
      <c r="AF120" s="8"/>
      <c r="AG120" s="33"/>
      <c r="AH120" s="34"/>
      <c r="AI120" s="35"/>
    </row>
    <row r="121" spans="1:35" ht="126">
      <c r="A121" s="4">
        <v>16</v>
      </c>
      <c r="B121" s="4" t="s">
        <v>1026</v>
      </c>
      <c r="C121" s="4" t="s">
        <v>1027</v>
      </c>
      <c r="D121" s="4" t="s">
        <v>720</v>
      </c>
      <c r="E121" s="4" t="s">
        <v>733</v>
      </c>
      <c r="F121" s="43" t="s">
        <v>1028</v>
      </c>
      <c r="G121" s="8"/>
      <c r="H121" s="8"/>
      <c r="I121" s="8"/>
      <c r="J121" s="8"/>
      <c r="K121" s="8"/>
      <c r="L121" s="8"/>
      <c r="M121" s="8"/>
      <c r="N121" s="8"/>
      <c r="O121" s="8"/>
      <c r="P121" s="45">
        <v>43374</v>
      </c>
      <c r="Q121" s="45">
        <v>43525</v>
      </c>
      <c r="R121" s="49">
        <f t="shared" si="0"/>
        <v>0</v>
      </c>
      <c r="S121" s="49">
        <f t="shared" si="1"/>
        <v>0</v>
      </c>
      <c r="T121" s="49">
        <f t="shared" si="2"/>
        <v>0</v>
      </c>
      <c r="U121" s="8"/>
      <c r="V121" s="8"/>
      <c r="W121" s="8"/>
      <c r="X121" s="8"/>
      <c r="Y121" s="8"/>
      <c r="Z121" s="8"/>
      <c r="AA121" s="31"/>
      <c r="AB121" s="32"/>
      <c r="AC121" s="8"/>
      <c r="AD121" s="8"/>
      <c r="AE121" s="8"/>
      <c r="AF121" s="8"/>
      <c r="AG121" s="33"/>
      <c r="AH121" s="34"/>
      <c r="AI121" s="35"/>
    </row>
    <row r="122" spans="1:35" ht="13">
      <c r="A122" s="8"/>
      <c r="B122" s="8"/>
      <c r="C122" s="8"/>
      <c r="D122" s="8"/>
      <c r="E122" s="8"/>
      <c r="F122" s="87"/>
      <c r="G122" s="8"/>
      <c r="H122" s="8"/>
      <c r="I122" s="8"/>
      <c r="J122" s="8"/>
      <c r="K122" s="8"/>
      <c r="L122" s="8"/>
      <c r="M122" s="8"/>
      <c r="N122" s="8"/>
      <c r="O122" s="8"/>
      <c r="P122" s="88"/>
      <c r="Q122" s="88"/>
      <c r="R122" s="49"/>
      <c r="S122" s="49"/>
      <c r="T122" s="49"/>
      <c r="U122" s="8"/>
      <c r="V122" s="8"/>
      <c r="W122" s="8"/>
      <c r="X122" s="8"/>
      <c r="Y122" s="8"/>
      <c r="Z122" s="8"/>
      <c r="AA122" s="31"/>
      <c r="AB122" s="32"/>
      <c r="AC122" s="8"/>
      <c r="AD122" s="8"/>
      <c r="AE122" s="8"/>
      <c r="AF122" s="8"/>
      <c r="AG122" s="33"/>
      <c r="AH122" s="34"/>
      <c r="AI122" s="35"/>
    </row>
    <row r="123" spans="1:35" ht="13">
      <c r="A123" s="8"/>
      <c r="B123" s="8"/>
      <c r="C123" s="8"/>
      <c r="D123" s="8"/>
      <c r="E123" s="8"/>
      <c r="F123" s="87"/>
      <c r="G123" s="8"/>
      <c r="H123" s="8"/>
      <c r="I123" s="8"/>
      <c r="J123" s="8"/>
      <c r="K123" s="8"/>
      <c r="L123" s="8"/>
      <c r="M123" s="8"/>
      <c r="N123" s="8"/>
      <c r="O123" s="8"/>
      <c r="P123" s="88"/>
      <c r="Q123" s="88"/>
      <c r="R123" s="49"/>
      <c r="S123" s="49"/>
      <c r="T123" s="49"/>
      <c r="U123" s="8"/>
      <c r="V123" s="8"/>
      <c r="W123" s="8"/>
      <c r="X123" s="8"/>
      <c r="Y123" s="8"/>
      <c r="Z123" s="8"/>
      <c r="AA123" s="31"/>
      <c r="AB123" s="32"/>
      <c r="AC123" s="8"/>
      <c r="AD123" s="8"/>
      <c r="AE123" s="8"/>
      <c r="AF123" s="8"/>
      <c r="AG123" s="33"/>
      <c r="AH123" s="34"/>
      <c r="AI123" s="35"/>
    </row>
    <row r="124" spans="1:35" ht="13">
      <c r="A124" s="8"/>
      <c r="B124" s="8"/>
      <c r="C124" s="8"/>
      <c r="D124" s="8"/>
      <c r="E124" s="8"/>
      <c r="F124" s="87"/>
      <c r="G124" s="8"/>
      <c r="H124" s="8"/>
      <c r="I124" s="8"/>
      <c r="J124" s="8"/>
      <c r="K124" s="8"/>
      <c r="L124" s="8"/>
      <c r="M124" s="8"/>
      <c r="N124" s="8"/>
      <c r="O124" s="8"/>
      <c r="P124" s="88"/>
      <c r="Q124" s="88"/>
      <c r="R124" s="49"/>
      <c r="S124" s="49"/>
      <c r="T124" s="49"/>
      <c r="U124" s="8"/>
      <c r="V124" s="8"/>
      <c r="W124" s="8"/>
      <c r="X124" s="8"/>
      <c r="Y124" s="8"/>
      <c r="Z124" s="8"/>
      <c r="AA124" s="31"/>
      <c r="AB124" s="32"/>
      <c r="AC124" s="8"/>
      <c r="AD124" s="8"/>
      <c r="AE124" s="8"/>
      <c r="AF124" s="8"/>
      <c r="AG124" s="33"/>
      <c r="AH124" s="34"/>
      <c r="AI124" s="35"/>
    </row>
    <row r="125" spans="1:35" ht="13">
      <c r="A125" s="8"/>
      <c r="B125" s="8"/>
      <c r="C125" s="8"/>
      <c r="D125" s="8"/>
      <c r="E125" s="8"/>
      <c r="F125" s="87"/>
      <c r="G125" s="8"/>
      <c r="H125" s="8"/>
      <c r="I125" s="8"/>
      <c r="J125" s="8"/>
      <c r="K125" s="8"/>
      <c r="L125" s="8"/>
      <c r="M125" s="8"/>
      <c r="N125" s="8"/>
      <c r="O125" s="8"/>
      <c r="P125" s="88"/>
      <c r="Q125" s="88"/>
      <c r="R125" s="49"/>
      <c r="S125" s="49"/>
      <c r="T125" s="49"/>
      <c r="U125" s="8"/>
      <c r="V125" s="8"/>
      <c r="W125" s="8"/>
      <c r="X125" s="8"/>
      <c r="Y125" s="8"/>
      <c r="Z125" s="8"/>
      <c r="AA125" s="31"/>
      <c r="AB125" s="32"/>
      <c r="AC125" s="8"/>
      <c r="AD125" s="8"/>
      <c r="AE125" s="8"/>
      <c r="AF125" s="8"/>
      <c r="AG125" s="33"/>
      <c r="AH125" s="34"/>
      <c r="AI125" s="35"/>
    </row>
    <row r="126" spans="1:35" ht="13">
      <c r="A126" s="8"/>
      <c r="B126" s="8"/>
      <c r="C126" s="8"/>
      <c r="D126" s="8"/>
      <c r="E126" s="8"/>
      <c r="F126" s="87"/>
      <c r="G126" s="8"/>
      <c r="H126" s="8"/>
      <c r="I126" s="8"/>
      <c r="J126" s="8"/>
      <c r="K126" s="8"/>
      <c r="L126" s="8"/>
      <c r="M126" s="8"/>
      <c r="N126" s="8"/>
      <c r="O126" s="8"/>
      <c r="P126" s="88"/>
      <c r="Q126" s="88"/>
      <c r="R126" s="49"/>
      <c r="S126" s="49"/>
      <c r="T126" s="49"/>
      <c r="U126" s="8"/>
      <c r="V126" s="8"/>
      <c r="W126" s="8"/>
      <c r="X126" s="8"/>
      <c r="Y126" s="8"/>
      <c r="Z126" s="8"/>
      <c r="AA126" s="31"/>
      <c r="AB126" s="32"/>
      <c r="AC126" s="8"/>
      <c r="AD126" s="8"/>
      <c r="AE126" s="8"/>
      <c r="AF126" s="8"/>
      <c r="AG126" s="33"/>
      <c r="AH126" s="34"/>
      <c r="AI126" s="35"/>
    </row>
    <row r="127" spans="1:35" ht="13">
      <c r="A127" s="8"/>
      <c r="B127" s="8"/>
      <c r="C127" s="8"/>
      <c r="D127" s="8"/>
      <c r="E127" s="8"/>
      <c r="F127" s="87"/>
      <c r="G127" s="8"/>
      <c r="H127" s="8"/>
      <c r="I127" s="8"/>
      <c r="J127" s="8"/>
      <c r="K127" s="8"/>
      <c r="L127" s="8"/>
      <c r="M127" s="8"/>
      <c r="N127" s="8"/>
      <c r="O127" s="8"/>
      <c r="P127" s="88"/>
      <c r="Q127" s="88"/>
      <c r="R127" s="49"/>
      <c r="S127" s="49"/>
      <c r="T127" s="49"/>
      <c r="U127" s="8"/>
      <c r="V127" s="8"/>
      <c r="W127" s="8"/>
      <c r="X127" s="8"/>
      <c r="Y127" s="8"/>
      <c r="Z127" s="8"/>
      <c r="AA127" s="31"/>
      <c r="AB127" s="32"/>
      <c r="AC127" s="8"/>
      <c r="AD127" s="8"/>
      <c r="AE127" s="8"/>
      <c r="AF127" s="8"/>
      <c r="AG127" s="33"/>
      <c r="AH127" s="34"/>
      <c r="AI127" s="35"/>
    </row>
    <row r="128" spans="1:35" ht="13">
      <c r="A128" s="8"/>
      <c r="B128" s="8"/>
      <c r="C128" s="8"/>
      <c r="D128" s="8"/>
      <c r="E128" s="8"/>
      <c r="F128" s="87"/>
      <c r="G128" s="8"/>
      <c r="H128" s="8"/>
      <c r="I128" s="8"/>
      <c r="J128" s="8"/>
      <c r="K128" s="8"/>
      <c r="L128" s="8"/>
      <c r="M128" s="8"/>
      <c r="N128" s="8"/>
      <c r="O128" s="8"/>
      <c r="P128" s="88"/>
      <c r="Q128" s="88"/>
      <c r="R128" s="49"/>
      <c r="S128" s="49"/>
      <c r="T128" s="49"/>
      <c r="U128" s="8"/>
      <c r="V128" s="8"/>
      <c r="W128" s="8"/>
      <c r="X128" s="8"/>
      <c r="Y128" s="8"/>
      <c r="Z128" s="8"/>
      <c r="AA128" s="31"/>
      <c r="AB128" s="32"/>
      <c r="AC128" s="8"/>
      <c r="AD128" s="8"/>
      <c r="AE128" s="8"/>
      <c r="AF128" s="8"/>
      <c r="AG128" s="33"/>
      <c r="AH128" s="34"/>
      <c r="AI128" s="35"/>
    </row>
    <row r="129" spans="1:35" ht="28">
      <c r="A129" s="106"/>
      <c r="B129" s="92" t="s">
        <v>1032</v>
      </c>
      <c r="C129" s="106"/>
      <c r="D129" s="106"/>
      <c r="E129" s="106"/>
      <c r="F129" s="107"/>
      <c r="G129" s="106"/>
      <c r="H129" s="106"/>
      <c r="I129" s="106"/>
      <c r="J129" s="106"/>
      <c r="K129" s="106"/>
      <c r="L129" s="106"/>
      <c r="M129" s="106"/>
      <c r="N129" s="106"/>
      <c r="O129" s="106"/>
      <c r="P129" s="108"/>
      <c r="Q129" s="108"/>
      <c r="R129" s="109"/>
      <c r="S129" s="109"/>
      <c r="T129" s="109"/>
      <c r="U129" s="106"/>
      <c r="V129" s="106"/>
      <c r="W129" s="106"/>
      <c r="X129" s="106"/>
      <c r="Y129" s="106"/>
      <c r="Z129" s="106"/>
      <c r="AA129" s="110"/>
      <c r="AB129" s="111"/>
      <c r="AC129" s="106"/>
      <c r="AD129" s="106"/>
      <c r="AE129" s="106"/>
      <c r="AF129" s="106"/>
      <c r="AG129" s="112"/>
      <c r="AH129" s="113"/>
      <c r="AI129" s="114"/>
    </row>
    <row r="130" spans="1:35" ht="28">
      <c r="A130" s="115"/>
      <c r="B130" s="116" t="s">
        <v>1035</v>
      </c>
      <c r="C130" s="115"/>
      <c r="D130" s="117" t="s">
        <v>222</v>
      </c>
      <c r="E130" s="118"/>
      <c r="F130" s="119"/>
      <c r="G130" s="118"/>
      <c r="H130" s="118"/>
      <c r="I130" s="118"/>
      <c r="J130" s="8"/>
      <c r="K130" s="8"/>
      <c r="L130" s="8"/>
      <c r="M130" s="8"/>
      <c r="N130" s="8"/>
      <c r="O130" s="8"/>
      <c r="P130" s="88"/>
      <c r="Q130" s="88"/>
      <c r="R130" s="49"/>
      <c r="S130" s="49"/>
      <c r="T130" s="49"/>
      <c r="U130" s="8"/>
      <c r="V130" s="8"/>
      <c r="W130" s="8"/>
      <c r="X130" s="8"/>
      <c r="Y130" s="8"/>
      <c r="Z130" s="8"/>
      <c r="AA130" s="31"/>
      <c r="AB130" s="32"/>
      <c r="AC130" s="8"/>
      <c r="AD130" s="8"/>
      <c r="AE130" s="8"/>
      <c r="AF130" s="8"/>
      <c r="AG130" s="33"/>
      <c r="AH130" s="34"/>
      <c r="AI130" s="35"/>
    </row>
    <row r="131" spans="1:35" ht="224">
      <c r="A131" s="4">
        <v>1</v>
      </c>
      <c r="B131" s="4" t="s">
        <v>1038</v>
      </c>
      <c r="C131" s="4" t="s">
        <v>1039</v>
      </c>
      <c r="D131" s="4" t="s">
        <v>720</v>
      </c>
      <c r="E131" s="4" t="s">
        <v>836</v>
      </c>
      <c r="F131" s="43" t="s">
        <v>290</v>
      </c>
      <c r="G131" s="44">
        <v>15</v>
      </c>
      <c r="H131" s="44">
        <v>5</v>
      </c>
      <c r="I131" s="4" t="s">
        <v>1040</v>
      </c>
      <c r="J131" s="4" t="s">
        <v>55</v>
      </c>
      <c r="K131" s="4" t="s">
        <v>1041</v>
      </c>
      <c r="L131" s="4">
        <v>1</v>
      </c>
      <c r="M131" s="8"/>
      <c r="N131" s="8"/>
      <c r="O131" s="8"/>
      <c r="P131" s="120">
        <v>43374</v>
      </c>
      <c r="Q131" s="45">
        <v>45655</v>
      </c>
      <c r="R131" s="49"/>
      <c r="S131" s="49"/>
      <c r="T131" s="49"/>
      <c r="U131" s="4" t="s">
        <v>96</v>
      </c>
      <c r="V131" s="121" t="s">
        <v>1042</v>
      </c>
      <c r="W131" s="121">
        <v>2292.98</v>
      </c>
      <c r="X131" s="121">
        <v>2280.85</v>
      </c>
      <c r="Y131" s="121">
        <v>2705.7</v>
      </c>
      <c r="Z131" s="121">
        <v>2827.7</v>
      </c>
      <c r="AA131" s="122">
        <v>2948</v>
      </c>
      <c r="AB131" s="22">
        <v>1955.99</v>
      </c>
      <c r="AC131" s="4">
        <v>2292.9769999999999</v>
      </c>
      <c r="AD131" s="4">
        <v>2280.846</v>
      </c>
      <c r="AE131" s="4">
        <v>2705.7</v>
      </c>
      <c r="AF131" s="8"/>
      <c r="AG131" s="33"/>
      <c r="AH131" s="47" t="s">
        <v>1043</v>
      </c>
      <c r="AI131" s="35"/>
    </row>
    <row r="132" spans="1:35" ht="166.5" customHeight="1">
      <c r="A132" s="4">
        <v>2</v>
      </c>
      <c r="B132" s="4" t="s">
        <v>1045</v>
      </c>
      <c r="C132" s="123" t="s">
        <v>1047</v>
      </c>
      <c r="D132" s="4" t="s">
        <v>720</v>
      </c>
      <c r="E132" s="4" t="s">
        <v>836</v>
      </c>
      <c r="F132" s="43" t="s">
        <v>309</v>
      </c>
      <c r="G132" s="4" t="s">
        <v>508</v>
      </c>
      <c r="H132" s="4" t="s">
        <v>508</v>
      </c>
      <c r="I132" s="4" t="s">
        <v>508</v>
      </c>
      <c r="J132" s="4" t="s">
        <v>55</v>
      </c>
      <c r="K132" s="8"/>
      <c r="L132" s="4">
        <v>1</v>
      </c>
      <c r="M132" s="8"/>
      <c r="N132" s="8"/>
      <c r="O132" s="8"/>
      <c r="P132" s="124">
        <v>43374</v>
      </c>
      <c r="Q132" s="45">
        <v>45656</v>
      </c>
      <c r="R132" s="49"/>
      <c r="S132" s="49"/>
      <c r="T132" s="49"/>
      <c r="U132" s="4" t="s">
        <v>90</v>
      </c>
      <c r="V132" s="125"/>
      <c r="W132" s="46"/>
      <c r="X132" s="46"/>
      <c r="Y132" s="46"/>
      <c r="Z132" s="46"/>
      <c r="AA132" s="126"/>
      <c r="AB132" s="127"/>
      <c r="AC132" s="8"/>
      <c r="AD132" s="8"/>
      <c r="AE132" s="8"/>
      <c r="AF132" s="8"/>
      <c r="AG132" s="33"/>
      <c r="AH132" s="34"/>
      <c r="AI132" s="35"/>
    </row>
    <row r="133" spans="1:35" ht="276" customHeight="1">
      <c r="A133" s="4"/>
      <c r="B133" s="4"/>
      <c r="C133" s="4" t="s">
        <v>1048</v>
      </c>
      <c r="D133" s="4"/>
      <c r="E133" s="4"/>
      <c r="F133" s="43"/>
      <c r="G133" s="8"/>
      <c r="H133" s="8"/>
      <c r="I133" s="8"/>
      <c r="J133" s="4"/>
      <c r="K133" s="8"/>
      <c r="L133" s="8"/>
      <c r="M133" s="8"/>
      <c r="N133" s="8"/>
      <c r="O133" s="8"/>
      <c r="P133" s="88"/>
      <c r="Q133" s="88"/>
      <c r="R133" s="49"/>
      <c r="S133" s="49"/>
      <c r="T133" s="49"/>
      <c r="U133" s="8"/>
      <c r="V133" s="8"/>
      <c r="W133" s="8"/>
      <c r="X133" s="8"/>
      <c r="Y133" s="8"/>
      <c r="Z133" s="8"/>
      <c r="AA133" s="31"/>
      <c r="AB133" s="32"/>
      <c r="AC133" s="8"/>
      <c r="AD133" s="8"/>
      <c r="AE133" s="8"/>
      <c r="AF133" s="8"/>
      <c r="AG133" s="33"/>
      <c r="AH133" s="34"/>
      <c r="AI133" s="35"/>
    </row>
    <row r="134" spans="1:35" ht="238">
      <c r="A134" s="4">
        <v>3</v>
      </c>
      <c r="B134" s="4" t="s">
        <v>1051</v>
      </c>
      <c r="C134" s="4" t="s">
        <v>1052</v>
      </c>
      <c r="D134" s="4" t="s">
        <v>720</v>
      </c>
      <c r="E134" s="4" t="s">
        <v>836</v>
      </c>
      <c r="F134" s="43" t="s">
        <v>317</v>
      </c>
      <c r="G134" s="44">
        <v>15</v>
      </c>
      <c r="H134" s="44">
        <v>5</v>
      </c>
      <c r="I134" s="4" t="s">
        <v>1053</v>
      </c>
      <c r="J134" s="4" t="s">
        <v>55</v>
      </c>
      <c r="K134" s="8"/>
      <c r="L134" s="8"/>
      <c r="M134" s="8"/>
      <c r="N134" s="8"/>
      <c r="O134" s="8"/>
      <c r="P134" s="124">
        <v>43374</v>
      </c>
      <c r="Q134" s="45">
        <v>45656</v>
      </c>
      <c r="R134" s="49"/>
      <c r="S134" s="49"/>
      <c r="T134" s="49"/>
      <c r="U134" s="4" t="s">
        <v>90</v>
      </c>
      <c r="V134" s="8"/>
      <c r="W134" s="8"/>
      <c r="X134" s="8"/>
      <c r="Y134" s="8"/>
      <c r="Z134" s="8"/>
      <c r="AA134" s="31"/>
      <c r="AB134" s="32"/>
      <c r="AC134" s="8"/>
      <c r="AD134" s="8"/>
      <c r="AE134" s="8"/>
      <c r="AF134" s="8"/>
      <c r="AG134" s="33"/>
      <c r="AH134" s="34"/>
      <c r="AI134" s="35"/>
    </row>
    <row r="135" spans="1:35" ht="86.25" customHeight="1">
      <c r="A135" s="4">
        <v>4</v>
      </c>
      <c r="B135" s="4" t="s">
        <v>1054</v>
      </c>
      <c r="C135" s="4" t="s">
        <v>1055</v>
      </c>
      <c r="D135" s="4" t="s">
        <v>720</v>
      </c>
      <c r="E135" s="4" t="s">
        <v>836</v>
      </c>
      <c r="F135" s="43" t="s">
        <v>322</v>
      </c>
      <c r="G135" s="4" t="s">
        <v>508</v>
      </c>
      <c r="H135" s="4" t="s">
        <v>508</v>
      </c>
      <c r="I135" s="4" t="s">
        <v>508</v>
      </c>
      <c r="J135" s="4" t="s">
        <v>55</v>
      </c>
      <c r="K135" s="8"/>
      <c r="L135" s="8"/>
      <c r="M135" s="8"/>
      <c r="N135" s="8"/>
      <c r="O135" s="8"/>
      <c r="P135" s="124">
        <v>43374</v>
      </c>
      <c r="Q135" s="45">
        <v>44012</v>
      </c>
      <c r="R135" s="49"/>
      <c r="S135" s="49"/>
      <c r="T135" s="49"/>
      <c r="U135" s="4" t="s">
        <v>90</v>
      </c>
      <c r="V135" s="8"/>
      <c r="W135" s="8"/>
      <c r="X135" s="8"/>
      <c r="Y135" s="8"/>
      <c r="Z135" s="8"/>
      <c r="AA135" s="31"/>
      <c r="AB135" s="32"/>
      <c r="AC135" s="8"/>
      <c r="AD135" s="8"/>
      <c r="AE135" s="8"/>
      <c r="AF135" s="8"/>
      <c r="AG135" s="33"/>
      <c r="AH135" s="34"/>
      <c r="AI135" s="35"/>
    </row>
    <row r="136" spans="1:35" ht="109.5" customHeight="1">
      <c r="A136" s="4">
        <v>5</v>
      </c>
      <c r="B136" s="4" t="s">
        <v>1060</v>
      </c>
      <c r="C136" s="4" t="s">
        <v>1064</v>
      </c>
      <c r="D136" s="4" t="s">
        <v>720</v>
      </c>
      <c r="E136" s="4" t="s">
        <v>836</v>
      </c>
      <c r="F136" s="43" t="s">
        <v>329</v>
      </c>
      <c r="G136" s="4" t="s">
        <v>508</v>
      </c>
      <c r="H136" s="4" t="s">
        <v>508</v>
      </c>
      <c r="I136" s="4" t="s">
        <v>508</v>
      </c>
      <c r="J136" s="4" t="s">
        <v>55</v>
      </c>
      <c r="K136" s="8"/>
      <c r="L136" s="8"/>
      <c r="M136" s="8"/>
      <c r="N136" s="8"/>
      <c r="O136" s="8"/>
      <c r="P136" s="124">
        <v>43374</v>
      </c>
      <c r="Q136" s="45">
        <v>45656</v>
      </c>
      <c r="R136" s="49"/>
      <c r="S136" s="49"/>
      <c r="T136" s="49"/>
      <c r="U136" s="4" t="s">
        <v>90</v>
      </c>
      <c r="V136" s="4">
        <v>0</v>
      </c>
      <c r="W136" s="4" t="s">
        <v>1068</v>
      </c>
      <c r="X136" s="4" t="s">
        <v>1068</v>
      </c>
      <c r="Y136" s="4" t="s">
        <v>1069</v>
      </c>
      <c r="Z136" s="4" t="s">
        <v>1069</v>
      </c>
      <c r="AA136" s="21" t="s">
        <v>1069</v>
      </c>
      <c r="AB136" s="32"/>
      <c r="AC136" s="8"/>
      <c r="AD136" s="8"/>
      <c r="AE136" s="8"/>
      <c r="AF136" s="8"/>
      <c r="AG136" s="33"/>
      <c r="AH136" s="34"/>
      <c r="AI136" s="35"/>
    </row>
    <row r="137" spans="1:35" ht="216" customHeight="1">
      <c r="A137" s="4">
        <v>6</v>
      </c>
      <c r="B137" s="4" t="s">
        <v>1070</v>
      </c>
      <c r="C137" s="4" t="s">
        <v>1071</v>
      </c>
      <c r="D137" s="4" t="s">
        <v>720</v>
      </c>
      <c r="E137" s="4" t="s">
        <v>836</v>
      </c>
      <c r="F137" s="43" t="s">
        <v>335</v>
      </c>
      <c r="G137" s="44">
        <v>15</v>
      </c>
      <c r="H137" s="44">
        <v>5</v>
      </c>
      <c r="I137" s="4" t="s">
        <v>1040</v>
      </c>
      <c r="J137" s="4" t="s">
        <v>55</v>
      </c>
      <c r="K137" s="8"/>
      <c r="L137" s="8"/>
      <c r="M137" s="8"/>
      <c r="N137" s="8"/>
      <c r="O137" s="8"/>
      <c r="P137" s="124">
        <v>43374</v>
      </c>
      <c r="Q137" s="45">
        <v>45656</v>
      </c>
      <c r="R137" s="49"/>
      <c r="S137" s="49"/>
      <c r="T137" s="49"/>
      <c r="U137" s="4" t="s">
        <v>96</v>
      </c>
      <c r="V137" s="46">
        <v>1965.81</v>
      </c>
      <c r="W137" s="46">
        <v>2007.52</v>
      </c>
      <c r="X137" s="46">
        <v>1917.95</v>
      </c>
      <c r="Y137" s="46">
        <v>2068</v>
      </c>
      <c r="Z137" s="46">
        <v>2285</v>
      </c>
      <c r="AA137" s="126">
        <v>2502</v>
      </c>
      <c r="AB137" s="128">
        <v>1965.808</v>
      </c>
      <c r="AC137" s="46">
        <v>2007.5219999999999</v>
      </c>
      <c r="AD137" s="46">
        <v>1917.953</v>
      </c>
      <c r="AE137" s="46">
        <v>2068</v>
      </c>
      <c r="AF137" s="46" t="s">
        <v>508</v>
      </c>
      <c r="AG137" s="129" t="s">
        <v>508</v>
      </c>
      <c r="AH137" s="47" t="s">
        <v>1073</v>
      </c>
      <c r="AI137" s="35"/>
    </row>
    <row r="138" spans="1:35" ht="112">
      <c r="A138" s="4">
        <v>7</v>
      </c>
      <c r="B138" s="4" t="s">
        <v>1074</v>
      </c>
      <c r="C138" s="4" t="s">
        <v>1075</v>
      </c>
      <c r="D138" s="4" t="s">
        <v>720</v>
      </c>
      <c r="E138" s="4" t="s">
        <v>836</v>
      </c>
      <c r="F138" s="43" t="s">
        <v>357</v>
      </c>
      <c r="G138" s="4" t="s">
        <v>508</v>
      </c>
      <c r="H138" s="4" t="s">
        <v>508</v>
      </c>
      <c r="I138" s="4" t="s">
        <v>508</v>
      </c>
      <c r="J138" s="4" t="s">
        <v>55</v>
      </c>
      <c r="K138" s="8"/>
      <c r="L138" s="8"/>
      <c r="M138" s="8"/>
      <c r="N138" s="8"/>
      <c r="O138" s="8"/>
      <c r="P138" s="124">
        <v>43374</v>
      </c>
      <c r="Q138" s="45">
        <v>43553</v>
      </c>
      <c r="R138" s="49"/>
      <c r="S138" s="49"/>
      <c r="T138" s="49"/>
      <c r="U138" s="4" t="s">
        <v>90</v>
      </c>
      <c r="V138" s="8"/>
      <c r="W138" s="8"/>
      <c r="X138" s="8"/>
      <c r="Y138" s="8"/>
      <c r="Z138" s="8"/>
      <c r="AA138" s="31"/>
      <c r="AB138" s="32"/>
      <c r="AC138" s="8"/>
      <c r="AD138" s="8"/>
      <c r="AE138" s="8"/>
      <c r="AF138" s="8"/>
      <c r="AG138" s="33"/>
      <c r="AH138" s="34"/>
      <c r="AI138" s="35"/>
    </row>
    <row r="139" spans="1:35" ht="70">
      <c r="A139" s="4">
        <v>8</v>
      </c>
      <c r="B139" s="4" t="s">
        <v>1076</v>
      </c>
      <c r="C139" s="4" t="s">
        <v>1077</v>
      </c>
      <c r="D139" s="4" t="s">
        <v>720</v>
      </c>
      <c r="E139" s="4" t="s">
        <v>836</v>
      </c>
      <c r="F139" s="43" t="s">
        <v>360</v>
      </c>
      <c r="G139" s="4" t="s">
        <v>508</v>
      </c>
      <c r="H139" s="4" t="s">
        <v>508</v>
      </c>
      <c r="I139" s="4" t="s">
        <v>508</v>
      </c>
      <c r="J139" s="4" t="s">
        <v>55</v>
      </c>
      <c r="K139" s="8"/>
      <c r="L139" s="8"/>
      <c r="M139" s="8"/>
      <c r="N139" s="8"/>
      <c r="O139" s="8"/>
      <c r="P139" s="124">
        <v>43374</v>
      </c>
      <c r="Q139" s="45">
        <v>45596</v>
      </c>
      <c r="R139" s="49"/>
      <c r="S139" s="49"/>
      <c r="T139" s="49"/>
      <c r="U139" s="4" t="s">
        <v>96</v>
      </c>
      <c r="V139" s="8"/>
      <c r="W139" s="8"/>
      <c r="X139" s="8"/>
      <c r="Y139" s="8"/>
      <c r="Z139" s="8"/>
      <c r="AA139" s="31"/>
      <c r="AB139" s="32"/>
      <c r="AC139" s="8"/>
      <c r="AD139" s="8"/>
      <c r="AE139" s="8"/>
      <c r="AF139" s="8"/>
      <c r="AG139" s="33"/>
      <c r="AH139" s="34"/>
      <c r="AI139" s="35"/>
    </row>
    <row r="140" spans="1:35" ht="46.5" customHeight="1">
      <c r="A140" s="4">
        <v>9</v>
      </c>
      <c r="B140" s="4" t="s">
        <v>1078</v>
      </c>
      <c r="C140" s="4" t="s">
        <v>508</v>
      </c>
      <c r="D140" s="4" t="s">
        <v>720</v>
      </c>
      <c r="E140" s="4" t="s">
        <v>836</v>
      </c>
      <c r="F140" s="43" t="s">
        <v>466</v>
      </c>
      <c r="G140" s="4" t="s">
        <v>508</v>
      </c>
      <c r="H140" s="4" t="s">
        <v>508</v>
      </c>
      <c r="I140" s="4" t="s">
        <v>508</v>
      </c>
      <c r="J140" s="4" t="s">
        <v>55</v>
      </c>
      <c r="K140" s="8"/>
      <c r="L140" s="8"/>
      <c r="M140" s="8"/>
      <c r="N140" s="8"/>
      <c r="O140" s="8"/>
      <c r="P140" s="124">
        <v>43374</v>
      </c>
      <c r="Q140" s="45">
        <v>43462</v>
      </c>
      <c r="R140" s="49"/>
      <c r="S140" s="49"/>
      <c r="T140" s="49"/>
      <c r="U140" s="4" t="s">
        <v>90</v>
      </c>
      <c r="V140" s="8"/>
      <c r="W140" s="8"/>
      <c r="X140" s="8"/>
      <c r="Y140" s="8"/>
      <c r="Z140" s="8"/>
      <c r="AA140" s="31"/>
      <c r="AB140" s="32"/>
      <c r="AC140" s="8"/>
      <c r="AD140" s="8"/>
      <c r="AE140" s="8"/>
      <c r="AF140" s="8"/>
      <c r="AG140" s="33"/>
      <c r="AH140" s="34"/>
      <c r="AI140" s="35"/>
    </row>
    <row r="141" spans="1:35" ht="45.75" customHeight="1">
      <c r="A141" s="4">
        <v>10</v>
      </c>
      <c r="B141" s="4" t="s">
        <v>1082</v>
      </c>
      <c r="C141" s="4" t="s">
        <v>1083</v>
      </c>
      <c r="D141" s="4" t="s">
        <v>720</v>
      </c>
      <c r="E141" s="4" t="s">
        <v>836</v>
      </c>
      <c r="F141" s="43" t="s">
        <v>471</v>
      </c>
      <c r="G141" s="8"/>
      <c r="H141" s="8"/>
      <c r="I141" s="8"/>
      <c r="J141" s="4" t="s">
        <v>55</v>
      </c>
      <c r="K141" s="8"/>
      <c r="L141" s="8"/>
      <c r="M141" s="8"/>
      <c r="N141" s="8"/>
      <c r="O141" s="8"/>
      <c r="P141" s="124">
        <v>43374</v>
      </c>
      <c r="Q141" s="45">
        <v>45652</v>
      </c>
      <c r="R141" s="49"/>
      <c r="S141" s="49"/>
      <c r="T141" s="49"/>
      <c r="U141" s="4" t="s">
        <v>96</v>
      </c>
      <c r="V141" s="8"/>
      <c r="W141" s="8"/>
      <c r="X141" s="8"/>
      <c r="Y141" s="8"/>
      <c r="Z141" s="8"/>
      <c r="AA141" s="31"/>
      <c r="AB141" s="32"/>
      <c r="AC141" s="8"/>
      <c r="AD141" s="8"/>
      <c r="AE141" s="8"/>
      <c r="AF141" s="8"/>
      <c r="AG141" s="33"/>
      <c r="AH141" s="34"/>
      <c r="AI141" s="35"/>
    </row>
    <row r="142" spans="1:35" ht="84">
      <c r="A142" s="4" t="s">
        <v>1084</v>
      </c>
      <c r="B142" s="4" t="s">
        <v>1085</v>
      </c>
      <c r="C142" s="8"/>
      <c r="D142" s="4" t="s">
        <v>720</v>
      </c>
      <c r="E142" s="4" t="s">
        <v>836</v>
      </c>
      <c r="F142" s="43"/>
      <c r="G142" s="8"/>
      <c r="H142" s="8"/>
      <c r="I142" s="8"/>
      <c r="J142" s="8"/>
      <c r="K142" s="8"/>
      <c r="L142" s="8"/>
      <c r="M142" s="8"/>
      <c r="N142" s="8"/>
      <c r="O142" s="4" t="s">
        <v>1086</v>
      </c>
      <c r="P142" s="124">
        <v>43374</v>
      </c>
      <c r="Q142" s="45">
        <v>45655</v>
      </c>
      <c r="R142" s="49"/>
      <c r="S142" s="49"/>
      <c r="T142" s="49"/>
      <c r="U142" s="4" t="s">
        <v>96</v>
      </c>
      <c r="V142" s="8"/>
      <c r="W142" s="8"/>
      <c r="X142" s="8"/>
      <c r="Y142" s="8"/>
      <c r="Z142" s="8"/>
      <c r="AA142" s="31"/>
      <c r="AB142" s="32"/>
      <c r="AC142" s="8"/>
      <c r="AD142" s="8"/>
      <c r="AE142" s="8"/>
      <c r="AF142" s="8"/>
      <c r="AG142" s="33"/>
      <c r="AH142" s="34"/>
      <c r="AI142" s="35"/>
    </row>
    <row r="143" spans="1:35" ht="13">
      <c r="A143" s="8"/>
      <c r="B143" s="8"/>
      <c r="C143" s="8"/>
      <c r="D143" s="4"/>
      <c r="E143" s="4"/>
      <c r="F143" s="43"/>
      <c r="G143" s="8"/>
      <c r="H143" s="8"/>
      <c r="I143" s="8"/>
      <c r="J143" s="8"/>
      <c r="K143" s="8"/>
      <c r="L143" s="8"/>
      <c r="M143" s="8"/>
      <c r="N143" s="8"/>
      <c r="O143" s="8"/>
      <c r="P143" s="88"/>
      <c r="Q143" s="88"/>
      <c r="R143" s="49"/>
      <c r="S143" s="49"/>
      <c r="T143" s="49"/>
      <c r="U143" s="8"/>
      <c r="V143" s="8"/>
      <c r="W143" s="8"/>
      <c r="X143" s="8"/>
      <c r="Y143" s="8"/>
      <c r="Z143" s="8"/>
      <c r="AA143" s="31"/>
      <c r="AB143" s="32"/>
      <c r="AC143" s="8"/>
      <c r="AD143" s="8"/>
      <c r="AE143" s="8"/>
      <c r="AF143" s="8"/>
      <c r="AG143" s="33"/>
      <c r="AH143" s="34"/>
      <c r="AI143" s="35"/>
    </row>
    <row r="144" spans="1:35" ht="13">
      <c r="A144" s="8"/>
      <c r="B144" s="8"/>
      <c r="C144" s="8"/>
      <c r="D144" s="4"/>
      <c r="E144" s="4"/>
      <c r="F144" s="43"/>
      <c r="G144" s="8"/>
      <c r="H144" s="8"/>
      <c r="I144" s="8"/>
      <c r="J144" s="8"/>
      <c r="K144" s="8"/>
      <c r="L144" s="8"/>
      <c r="M144" s="8"/>
      <c r="N144" s="8"/>
      <c r="O144" s="8"/>
      <c r="P144" s="88"/>
      <c r="Q144" s="88"/>
      <c r="R144" s="49"/>
      <c r="S144" s="49"/>
      <c r="T144" s="49"/>
      <c r="U144" s="8"/>
      <c r="V144" s="8"/>
      <c r="W144" s="8"/>
      <c r="X144" s="8"/>
      <c r="Y144" s="8"/>
      <c r="Z144" s="8"/>
      <c r="AA144" s="31"/>
      <c r="AB144" s="32"/>
      <c r="AC144" s="8"/>
      <c r="AD144" s="8"/>
      <c r="AE144" s="8"/>
      <c r="AF144" s="8"/>
      <c r="AG144" s="33"/>
      <c r="AH144" s="34"/>
      <c r="AI144" s="35"/>
    </row>
    <row r="145" spans="1:35" ht="14">
      <c r="A145" s="130"/>
      <c r="B145" s="131" t="s">
        <v>1089</v>
      </c>
      <c r="C145" s="130"/>
      <c r="D145" s="8"/>
      <c r="E145" s="8"/>
      <c r="F145" s="87"/>
      <c r="G145" s="8"/>
      <c r="H145" s="8"/>
      <c r="I145" s="8"/>
      <c r="J145" s="8"/>
      <c r="K145" s="8"/>
      <c r="L145" s="8"/>
      <c r="M145" s="8"/>
      <c r="N145" s="8"/>
      <c r="O145" s="8"/>
      <c r="P145" s="88"/>
      <c r="Q145" s="88"/>
      <c r="R145" s="49"/>
      <c r="S145" s="49"/>
      <c r="T145" s="49"/>
      <c r="U145" s="8"/>
      <c r="V145" s="8"/>
      <c r="W145" s="8"/>
      <c r="X145" s="8"/>
      <c r="Y145" s="8"/>
      <c r="Z145" s="8"/>
      <c r="AA145" s="31"/>
      <c r="AB145" s="32"/>
      <c r="AC145" s="8"/>
      <c r="AD145" s="8"/>
      <c r="AE145" s="8"/>
      <c r="AF145" s="8"/>
      <c r="AG145" s="33"/>
      <c r="AH145" s="34"/>
      <c r="AI145" s="35"/>
    </row>
    <row r="146" spans="1:35" ht="13">
      <c r="A146" s="8"/>
      <c r="B146" s="4"/>
      <c r="C146" s="8"/>
      <c r="D146" s="8"/>
      <c r="E146" s="8"/>
      <c r="F146" s="87"/>
      <c r="G146" s="8"/>
      <c r="H146" s="8"/>
      <c r="I146" s="8"/>
      <c r="J146" s="8"/>
      <c r="K146" s="8"/>
      <c r="L146" s="8"/>
      <c r="M146" s="8"/>
      <c r="N146" s="8"/>
      <c r="O146" s="8"/>
      <c r="P146" s="88"/>
      <c r="Q146" s="88"/>
      <c r="R146" s="49"/>
      <c r="S146" s="49"/>
      <c r="T146" s="49"/>
      <c r="U146" s="8"/>
      <c r="V146" s="8"/>
      <c r="W146" s="8"/>
      <c r="X146" s="8"/>
      <c r="Y146" s="8"/>
      <c r="Z146" s="8"/>
      <c r="AA146" s="31"/>
      <c r="AB146" s="32"/>
      <c r="AC146" s="8"/>
      <c r="AD146" s="8"/>
      <c r="AE146" s="8"/>
      <c r="AF146" s="8"/>
      <c r="AG146" s="33"/>
      <c r="AH146" s="34"/>
      <c r="AI146" s="35"/>
    </row>
    <row r="147" spans="1:35" ht="13">
      <c r="A147" s="8"/>
      <c r="B147" s="8"/>
      <c r="C147" s="8"/>
      <c r="D147" s="8"/>
      <c r="E147" s="8"/>
      <c r="F147" s="87"/>
      <c r="G147" s="8"/>
      <c r="H147" s="8"/>
      <c r="I147" s="8"/>
      <c r="J147" s="8"/>
      <c r="K147" s="8"/>
      <c r="L147" s="8"/>
      <c r="M147" s="8"/>
      <c r="N147" s="8"/>
      <c r="O147" s="8"/>
      <c r="P147" s="88"/>
      <c r="Q147" s="88"/>
      <c r="R147" s="49"/>
      <c r="S147" s="49"/>
      <c r="T147" s="49"/>
      <c r="U147" s="8"/>
      <c r="V147" s="8"/>
      <c r="W147" s="8"/>
      <c r="X147" s="8"/>
      <c r="Y147" s="8"/>
      <c r="Z147" s="8"/>
      <c r="AA147" s="31"/>
      <c r="AB147" s="32"/>
      <c r="AC147" s="8"/>
      <c r="AD147" s="8"/>
      <c r="AE147" s="8"/>
      <c r="AF147" s="8"/>
      <c r="AG147" s="33"/>
      <c r="AH147" s="34"/>
      <c r="AI147" s="35"/>
    </row>
    <row r="148" spans="1:35" ht="14">
      <c r="A148" s="132"/>
      <c r="B148" s="133" t="s">
        <v>1093</v>
      </c>
      <c r="C148" s="132"/>
      <c r="D148" s="132"/>
      <c r="E148" s="132"/>
      <c r="F148" s="134"/>
      <c r="G148" s="132"/>
      <c r="H148" s="132"/>
      <c r="I148" s="132"/>
      <c r="J148" s="132"/>
      <c r="K148" s="132"/>
      <c r="L148" s="132"/>
      <c r="M148" s="132"/>
      <c r="N148" s="132"/>
      <c r="O148" s="132"/>
      <c r="P148" s="135"/>
      <c r="Q148" s="135"/>
      <c r="R148" s="136"/>
      <c r="S148" s="136"/>
      <c r="T148" s="136"/>
      <c r="U148" s="132"/>
      <c r="V148" s="132"/>
      <c r="W148" s="132"/>
      <c r="X148" s="132"/>
      <c r="Y148" s="132"/>
      <c r="Z148" s="132"/>
      <c r="AA148" s="137"/>
      <c r="AB148" s="138"/>
      <c r="AC148" s="132"/>
      <c r="AD148" s="132"/>
      <c r="AE148" s="132"/>
      <c r="AF148" s="132"/>
      <c r="AG148" s="139"/>
      <c r="AH148" s="34"/>
      <c r="AI148" s="35"/>
    </row>
    <row r="149" spans="1:35" ht="137.25" customHeight="1">
      <c r="A149" s="140">
        <v>1</v>
      </c>
      <c r="B149" s="4" t="s">
        <v>1094</v>
      </c>
      <c r="C149" s="4" t="s">
        <v>1095</v>
      </c>
      <c r="D149" s="4" t="s">
        <v>288</v>
      </c>
      <c r="E149" s="4" t="s">
        <v>1096</v>
      </c>
      <c r="F149" s="43" t="s">
        <v>290</v>
      </c>
      <c r="G149" s="4" t="s">
        <v>508</v>
      </c>
      <c r="H149" s="4" t="s">
        <v>508</v>
      </c>
      <c r="I149" s="4" t="s">
        <v>508</v>
      </c>
      <c r="J149" s="4" t="s">
        <v>57</v>
      </c>
      <c r="K149" s="4" t="s">
        <v>1097</v>
      </c>
      <c r="L149" s="4">
        <v>1</v>
      </c>
      <c r="M149" s="4">
        <v>0</v>
      </c>
      <c r="N149" s="4">
        <v>0</v>
      </c>
      <c r="O149" s="140" t="s">
        <v>508</v>
      </c>
      <c r="P149" s="45">
        <v>43388</v>
      </c>
      <c r="Q149" s="45">
        <v>45646</v>
      </c>
      <c r="R149" s="49"/>
      <c r="S149" s="49"/>
      <c r="T149" s="49"/>
      <c r="U149" s="4" t="s">
        <v>90</v>
      </c>
      <c r="V149" s="4">
        <v>0</v>
      </c>
      <c r="W149" s="4">
        <v>0</v>
      </c>
      <c r="X149" s="4">
        <v>0</v>
      </c>
      <c r="Y149" s="4">
        <v>0</v>
      </c>
      <c r="Z149" s="4">
        <v>0</v>
      </c>
      <c r="AA149" s="21">
        <v>0</v>
      </c>
      <c r="AB149" s="22">
        <v>0</v>
      </c>
      <c r="AC149" s="4">
        <v>0</v>
      </c>
      <c r="AD149" s="4">
        <v>0</v>
      </c>
      <c r="AE149" s="4">
        <v>0</v>
      </c>
      <c r="AF149" s="4">
        <v>0</v>
      </c>
      <c r="AG149" s="23">
        <v>0</v>
      </c>
      <c r="AH149" s="34"/>
      <c r="AI149" s="35"/>
    </row>
    <row r="150" spans="1:35" ht="116.25" customHeight="1">
      <c r="A150" s="140">
        <v>2</v>
      </c>
      <c r="B150" s="4" t="s">
        <v>1099</v>
      </c>
      <c r="C150" s="4" t="s">
        <v>1100</v>
      </c>
      <c r="D150" s="4" t="s">
        <v>288</v>
      </c>
      <c r="E150" s="4" t="s">
        <v>1096</v>
      </c>
      <c r="F150" s="43" t="s">
        <v>309</v>
      </c>
      <c r="G150" s="4" t="s">
        <v>508</v>
      </c>
      <c r="H150" s="4" t="s">
        <v>508</v>
      </c>
      <c r="I150" s="4" t="s">
        <v>508</v>
      </c>
      <c r="J150" s="4" t="s">
        <v>57</v>
      </c>
      <c r="K150" s="4" t="s">
        <v>1097</v>
      </c>
      <c r="L150" s="4">
        <v>1</v>
      </c>
      <c r="M150" s="4">
        <v>0</v>
      </c>
      <c r="N150" s="4">
        <v>0</v>
      </c>
      <c r="O150" s="140" t="s">
        <v>508</v>
      </c>
      <c r="P150" s="45">
        <v>43388</v>
      </c>
      <c r="Q150" s="45">
        <v>43819</v>
      </c>
      <c r="R150" s="49"/>
      <c r="S150" s="49"/>
      <c r="T150" s="49"/>
      <c r="U150" s="4" t="s">
        <v>90</v>
      </c>
      <c r="V150" s="4">
        <v>0</v>
      </c>
      <c r="W150" s="4">
        <v>0</v>
      </c>
      <c r="X150" s="4">
        <v>0</v>
      </c>
      <c r="Y150" s="4">
        <v>0</v>
      </c>
      <c r="Z150" s="4">
        <v>0</v>
      </c>
      <c r="AA150" s="21">
        <v>0</v>
      </c>
      <c r="AB150" s="22">
        <v>0</v>
      </c>
      <c r="AC150" s="4">
        <v>0</v>
      </c>
      <c r="AD150" s="4">
        <v>0</v>
      </c>
      <c r="AE150" s="4">
        <v>0</v>
      </c>
      <c r="AF150" s="4">
        <v>0</v>
      </c>
      <c r="AG150" s="23">
        <v>0</v>
      </c>
      <c r="AH150" s="34"/>
      <c r="AI150" s="35"/>
    </row>
    <row r="151" spans="1:35" ht="154">
      <c r="A151" s="140">
        <v>3</v>
      </c>
      <c r="B151" s="4" t="s">
        <v>1101</v>
      </c>
      <c r="C151" s="4" t="s">
        <v>1102</v>
      </c>
      <c r="D151" s="4" t="s">
        <v>288</v>
      </c>
      <c r="E151" s="4" t="s">
        <v>1096</v>
      </c>
      <c r="F151" s="43" t="s">
        <v>317</v>
      </c>
      <c r="G151" s="4" t="s">
        <v>508</v>
      </c>
      <c r="H151" s="4" t="s">
        <v>508</v>
      </c>
      <c r="I151" s="4" t="s">
        <v>508</v>
      </c>
      <c r="J151" s="4" t="s">
        <v>57</v>
      </c>
      <c r="K151" s="4" t="s">
        <v>1097</v>
      </c>
      <c r="L151" s="4">
        <v>1</v>
      </c>
      <c r="M151" s="4">
        <v>0</v>
      </c>
      <c r="N151" s="4">
        <v>0</v>
      </c>
      <c r="O151" s="140" t="s">
        <v>508</v>
      </c>
      <c r="P151" s="45">
        <v>43388</v>
      </c>
      <c r="Q151" s="45">
        <v>43819</v>
      </c>
      <c r="R151" s="49"/>
      <c r="S151" s="49"/>
      <c r="T151" s="49"/>
      <c r="U151" s="4" t="s">
        <v>90</v>
      </c>
      <c r="V151" s="4">
        <v>0</v>
      </c>
      <c r="W151" s="4">
        <v>0</v>
      </c>
      <c r="X151" s="4">
        <v>0</v>
      </c>
      <c r="Y151" s="4">
        <v>0</v>
      </c>
      <c r="Z151" s="4">
        <v>0</v>
      </c>
      <c r="AA151" s="21">
        <v>0</v>
      </c>
      <c r="AB151" s="22">
        <v>0</v>
      </c>
      <c r="AC151" s="4">
        <v>0</v>
      </c>
      <c r="AD151" s="4">
        <v>0</v>
      </c>
      <c r="AE151" s="4">
        <v>0</v>
      </c>
      <c r="AF151" s="4">
        <v>0</v>
      </c>
      <c r="AG151" s="23">
        <v>0</v>
      </c>
      <c r="AH151" s="34"/>
      <c r="AI151" s="35"/>
    </row>
    <row r="152" spans="1:35" ht="154">
      <c r="A152" s="140">
        <v>4</v>
      </c>
      <c r="B152" s="4" t="s">
        <v>1103</v>
      </c>
      <c r="C152" s="4" t="s">
        <v>1104</v>
      </c>
      <c r="D152" s="4" t="s">
        <v>288</v>
      </c>
      <c r="E152" s="4" t="s">
        <v>1096</v>
      </c>
      <c r="F152" s="43" t="s">
        <v>322</v>
      </c>
      <c r="G152" s="4" t="s">
        <v>508</v>
      </c>
      <c r="H152" s="4" t="s">
        <v>508</v>
      </c>
      <c r="I152" s="4" t="s">
        <v>508</v>
      </c>
      <c r="J152" s="4" t="s">
        <v>57</v>
      </c>
      <c r="K152" s="4" t="s">
        <v>1097</v>
      </c>
      <c r="L152" s="4">
        <v>1</v>
      </c>
      <c r="M152" s="4">
        <v>0</v>
      </c>
      <c r="N152" s="4">
        <v>0</v>
      </c>
      <c r="O152" s="140" t="s">
        <v>508</v>
      </c>
      <c r="P152" s="45">
        <v>43101</v>
      </c>
      <c r="Q152" s="45">
        <v>43585</v>
      </c>
      <c r="R152" s="49"/>
      <c r="S152" s="49"/>
      <c r="T152" s="49"/>
      <c r="U152" s="4" t="s">
        <v>90</v>
      </c>
      <c r="V152" s="4">
        <v>0</v>
      </c>
      <c r="W152" s="4">
        <v>0</v>
      </c>
      <c r="X152" s="4">
        <v>0</v>
      </c>
      <c r="Y152" s="4">
        <v>0</v>
      </c>
      <c r="Z152" s="4">
        <v>0</v>
      </c>
      <c r="AA152" s="21">
        <v>0</v>
      </c>
      <c r="AB152" s="22">
        <v>0</v>
      </c>
      <c r="AC152" s="4">
        <v>0</v>
      </c>
      <c r="AD152" s="4">
        <v>0</v>
      </c>
      <c r="AE152" s="4">
        <v>0</v>
      </c>
      <c r="AF152" s="4">
        <v>0</v>
      </c>
      <c r="AG152" s="23">
        <v>0</v>
      </c>
      <c r="AH152" s="34"/>
      <c r="AI152" s="35"/>
    </row>
    <row r="153" spans="1:35" ht="154">
      <c r="A153" s="140">
        <v>5</v>
      </c>
      <c r="B153" s="4" t="s">
        <v>1105</v>
      </c>
      <c r="C153" s="4" t="s">
        <v>1106</v>
      </c>
      <c r="D153" s="4" t="s">
        <v>288</v>
      </c>
      <c r="E153" s="4" t="s">
        <v>1096</v>
      </c>
      <c r="F153" s="43" t="s">
        <v>329</v>
      </c>
      <c r="G153" s="4" t="s">
        <v>508</v>
      </c>
      <c r="H153" s="4" t="s">
        <v>508</v>
      </c>
      <c r="I153" s="4" t="s">
        <v>508</v>
      </c>
      <c r="J153" s="4" t="s">
        <v>57</v>
      </c>
      <c r="K153" s="4" t="s">
        <v>1097</v>
      </c>
      <c r="L153" s="4">
        <v>1</v>
      </c>
      <c r="M153" s="4">
        <v>0</v>
      </c>
      <c r="N153" s="4">
        <v>0</v>
      </c>
      <c r="O153" s="140" t="s">
        <v>508</v>
      </c>
      <c r="P153" s="45">
        <v>43101</v>
      </c>
      <c r="Q153" s="45">
        <v>43819</v>
      </c>
      <c r="R153" s="49"/>
      <c r="S153" s="49"/>
      <c r="T153" s="49"/>
      <c r="U153" s="4" t="s">
        <v>90</v>
      </c>
      <c r="V153" s="4">
        <v>0</v>
      </c>
      <c r="W153" s="4">
        <v>0</v>
      </c>
      <c r="X153" s="4">
        <v>0</v>
      </c>
      <c r="Y153" s="4">
        <v>0</v>
      </c>
      <c r="Z153" s="4">
        <v>0</v>
      </c>
      <c r="AA153" s="21">
        <v>0</v>
      </c>
      <c r="AB153" s="22">
        <v>0</v>
      </c>
      <c r="AC153" s="4">
        <v>0</v>
      </c>
      <c r="AD153" s="4">
        <v>0</v>
      </c>
      <c r="AE153" s="4">
        <v>0</v>
      </c>
      <c r="AF153" s="4">
        <v>0</v>
      </c>
      <c r="AG153" s="23">
        <v>0</v>
      </c>
      <c r="AH153" s="34"/>
      <c r="AI153" s="35"/>
    </row>
    <row r="154" spans="1:35" ht="154">
      <c r="A154" s="140">
        <v>6</v>
      </c>
      <c r="B154" s="4" t="s">
        <v>1108</v>
      </c>
      <c r="C154" s="4" t="s">
        <v>1109</v>
      </c>
      <c r="D154" s="4" t="s">
        <v>288</v>
      </c>
      <c r="E154" s="4" t="s">
        <v>1096</v>
      </c>
      <c r="F154" s="43" t="s">
        <v>335</v>
      </c>
      <c r="G154" s="4" t="s">
        <v>508</v>
      </c>
      <c r="H154" s="4" t="s">
        <v>508</v>
      </c>
      <c r="I154" s="4" t="s">
        <v>508</v>
      </c>
      <c r="J154" s="4" t="s">
        <v>57</v>
      </c>
      <c r="K154" s="4" t="s">
        <v>1097</v>
      </c>
      <c r="L154" s="4">
        <v>1</v>
      </c>
      <c r="M154" s="4">
        <v>0</v>
      </c>
      <c r="N154" s="4">
        <v>0</v>
      </c>
      <c r="O154" s="140" t="s">
        <v>508</v>
      </c>
      <c r="P154" s="45">
        <v>43466</v>
      </c>
      <c r="Q154" s="45">
        <v>45646</v>
      </c>
      <c r="R154" s="49"/>
      <c r="S154" s="49"/>
      <c r="T154" s="49"/>
      <c r="U154" s="4" t="s">
        <v>96</v>
      </c>
      <c r="V154" s="4">
        <v>0</v>
      </c>
      <c r="W154" s="4">
        <v>0</v>
      </c>
      <c r="X154" s="4">
        <v>0</v>
      </c>
      <c r="Y154" s="4">
        <v>0</v>
      </c>
      <c r="Z154" s="4">
        <v>0</v>
      </c>
      <c r="AA154" s="21">
        <v>0</v>
      </c>
      <c r="AB154" s="22">
        <v>0</v>
      </c>
      <c r="AC154" s="4">
        <v>0</v>
      </c>
      <c r="AD154" s="4">
        <v>0</v>
      </c>
      <c r="AE154" s="4">
        <v>0</v>
      </c>
      <c r="AF154" s="4">
        <v>0</v>
      </c>
      <c r="AG154" s="23">
        <v>0</v>
      </c>
      <c r="AH154" s="34"/>
      <c r="AI154" s="35"/>
    </row>
    <row r="155" spans="1:35" ht="154">
      <c r="A155" s="140">
        <v>7</v>
      </c>
      <c r="B155" s="4" t="s">
        <v>1110</v>
      </c>
      <c r="C155" s="4" t="s">
        <v>1111</v>
      </c>
      <c r="D155" s="4" t="s">
        <v>288</v>
      </c>
      <c r="E155" s="4" t="s">
        <v>1096</v>
      </c>
      <c r="F155" s="43" t="s">
        <v>341</v>
      </c>
      <c r="G155" s="4" t="s">
        <v>508</v>
      </c>
      <c r="H155" s="4" t="s">
        <v>508</v>
      </c>
      <c r="I155" s="4" t="s">
        <v>508</v>
      </c>
      <c r="J155" s="4" t="s">
        <v>57</v>
      </c>
      <c r="K155" s="4" t="s">
        <v>1097</v>
      </c>
      <c r="L155" s="4">
        <v>1</v>
      </c>
      <c r="M155" s="4">
        <v>0</v>
      </c>
      <c r="N155" s="4">
        <v>0</v>
      </c>
      <c r="O155" s="140" t="s">
        <v>508</v>
      </c>
      <c r="P155" s="45">
        <v>43466</v>
      </c>
      <c r="Q155" s="45">
        <v>45646</v>
      </c>
      <c r="R155" s="49"/>
      <c r="S155" s="49"/>
      <c r="T155" s="49"/>
      <c r="U155" s="4" t="s">
        <v>90</v>
      </c>
      <c r="V155" s="4">
        <v>0</v>
      </c>
      <c r="W155" s="4">
        <v>0</v>
      </c>
      <c r="X155" s="4">
        <v>0</v>
      </c>
      <c r="Y155" s="4">
        <v>0</v>
      </c>
      <c r="Z155" s="4">
        <v>0</v>
      </c>
      <c r="AA155" s="21">
        <v>0</v>
      </c>
      <c r="AB155" s="22">
        <v>0</v>
      </c>
      <c r="AC155" s="4">
        <v>0</v>
      </c>
      <c r="AD155" s="4">
        <v>0</v>
      </c>
      <c r="AE155" s="4">
        <v>0</v>
      </c>
      <c r="AF155" s="4">
        <v>0</v>
      </c>
      <c r="AG155" s="23">
        <v>0</v>
      </c>
      <c r="AH155" s="34"/>
      <c r="AI155" s="35"/>
    </row>
    <row r="156" spans="1:35" ht="154">
      <c r="A156" s="140">
        <v>8</v>
      </c>
      <c r="B156" s="4" t="s">
        <v>1112</v>
      </c>
      <c r="C156" s="4" t="s">
        <v>1113</v>
      </c>
      <c r="D156" s="4" t="s">
        <v>288</v>
      </c>
      <c r="E156" s="4" t="s">
        <v>1096</v>
      </c>
      <c r="F156" s="43" t="s">
        <v>347</v>
      </c>
      <c r="G156" s="4" t="s">
        <v>508</v>
      </c>
      <c r="H156" s="4" t="s">
        <v>508</v>
      </c>
      <c r="I156" s="4" t="s">
        <v>508</v>
      </c>
      <c r="J156" s="4" t="s">
        <v>57</v>
      </c>
      <c r="K156" s="4" t="s">
        <v>1097</v>
      </c>
      <c r="L156" s="4">
        <v>1</v>
      </c>
      <c r="M156" s="4">
        <v>0</v>
      </c>
      <c r="N156" s="4">
        <v>0</v>
      </c>
      <c r="O156" s="140" t="s">
        <v>508</v>
      </c>
      <c r="P156" s="45">
        <v>43101</v>
      </c>
      <c r="Q156" s="45">
        <v>43830</v>
      </c>
      <c r="R156" s="49"/>
      <c r="S156" s="49"/>
      <c r="T156" s="49"/>
      <c r="U156" s="4" t="s">
        <v>90</v>
      </c>
      <c r="V156" s="4">
        <v>0</v>
      </c>
      <c r="W156" s="4">
        <v>0</v>
      </c>
      <c r="X156" s="4">
        <v>0</v>
      </c>
      <c r="Y156" s="4">
        <v>0</v>
      </c>
      <c r="Z156" s="4">
        <v>0</v>
      </c>
      <c r="AA156" s="21">
        <v>0</v>
      </c>
      <c r="AB156" s="22">
        <v>0</v>
      </c>
      <c r="AC156" s="4">
        <v>0</v>
      </c>
      <c r="AD156" s="4">
        <v>0</v>
      </c>
      <c r="AE156" s="4">
        <v>0</v>
      </c>
      <c r="AF156" s="4">
        <v>0</v>
      </c>
      <c r="AG156" s="23">
        <v>0</v>
      </c>
      <c r="AH156" s="34"/>
      <c r="AI156" s="35"/>
    </row>
    <row r="157" spans="1:35" ht="306">
      <c r="A157" s="140">
        <v>9</v>
      </c>
      <c r="B157" s="4" t="s">
        <v>1116</v>
      </c>
      <c r="C157" s="4" t="s">
        <v>1117</v>
      </c>
      <c r="D157" s="4" t="s">
        <v>288</v>
      </c>
      <c r="E157" s="4" t="s">
        <v>1096</v>
      </c>
      <c r="F157" s="43" t="s">
        <v>352</v>
      </c>
      <c r="G157" s="4" t="s">
        <v>508</v>
      </c>
      <c r="H157" s="4" t="s">
        <v>508</v>
      </c>
      <c r="I157" s="4" t="s">
        <v>508</v>
      </c>
      <c r="J157" s="4" t="s">
        <v>57</v>
      </c>
      <c r="K157" s="4" t="s">
        <v>1097</v>
      </c>
      <c r="L157" s="4">
        <v>1</v>
      </c>
      <c r="M157" s="4">
        <v>1</v>
      </c>
      <c r="N157" s="14">
        <v>1</v>
      </c>
      <c r="O157" s="4" t="s">
        <v>1118</v>
      </c>
      <c r="P157" s="45">
        <v>43466</v>
      </c>
      <c r="Q157" s="45">
        <v>45655</v>
      </c>
      <c r="R157" s="49"/>
      <c r="S157" s="49"/>
      <c r="T157" s="49"/>
      <c r="U157" s="4" t="s">
        <v>96</v>
      </c>
      <c r="V157" s="140" t="s">
        <v>1119</v>
      </c>
      <c r="W157" s="140" t="s">
        <v>1120</v>
      </c>
      <c r="X157" s="140" t="s">
        <v>1121</v>
      </c>
      <c r="Y157" s="140" t="s">
        <v>1122</v>
      </c>
      <c r="Z157" s="121" t="s">
        <v>1123</v>
      </c>
      <c r="AA157" s="122" t="s">
        <v>1124</v>
      </c>
      <c r="AB157" s="22">
        <v>5373</v>
      </c>
      <c r="AC157" s="140">
        <v>3837.16</v>
      </c>
      <c r="AD157" s="140">
        <v>4609.57</v>
      </c>
      <c r="AE157" s="140" t="s">
        <v>1122</v>
      </c>
      <c r="AF157" s="4">
        <v>0</v>
      </c>
      <c r="AG157" s="23">
        <v>0</v>
      </c>
      <c r="AH157" s="47" t="s">
        <v>1125</v>
      </c>
      <c r="AI157" s="48" t="s">
        <v>1126</v>
      </c>
    </row>
    <row r="158" spans="1:35" ht="154">
      <c r="A158" s="140">
        <v>10</v>
      </c>
      <c r="B158" s="12" t="s">
        <v>1127</v>
      </c>
      <c r="C158" s="4" t="s">
        <v>1128</v>
      </c>
      <c r="D158" s="4" t="s">
        <v>288</v>
      </c>
      <c r="E158" s="4" t="s">
        <v>1096</v>
      </c>
      <c r="F158" s="43" t="s">
        <v>1129</v>
      </c>
      <c r="G158" s="4" t="s">
        <v>508</v>
      </c>
      <c r="H158" s="4" t="s">
        <v>508</v>
      </c>
      <c r="I158" s="4" t="s">
        <v>508</v>
      </c>
      <c r="J158" s="4" t="s">
        <v>57</v>
      </c>
      <c r="K158" s="4" t="s">
        <v>1097</v>
      </c>
      <c r="L158" s="4">
        <v>1</v>
      </c>
      <c r="M158" s="4">
        <v>0</v>
      </c>
      <c r="N158" s="14">
        <v>0</v>
      </c>
      <c r="O158" s="140" t="s">
        <v>508</v>
      </c>
      <c r="P158" s="45">
        <v>43388</v>
      </c>
      <c r="Q158" s="45">
        <v>44075</v>
      </c>
      <c r="R158" s="49"/>
      <c r="S158" s="49"/>
      <c r="T158" s="49"/>
      <c r="U158" s="4" t="s">
        <v>90</v>
      </c>
      <c r="V158" s="4">
        <v>0</v>
      </c>
      <c r="W158" s="4">
        <v>0</v>
      </c>
      <c r="X158" s="4">
        <v>0</v>
      </c>
      <c r="Y158" s="4">
        <v>0</v>
      </c>
      <c r="Z158" s="4">
        <v>0</v>
      </c>
      <c r="AA158" s="21">
        <v>0</v>
      </c>
      <c r="AB158" s="22">
        <v>0</v>
      </c>
      <c r="AC158" s="4">
        <v>0</v>
      </c>
      <c r="AD158" s="4">
        <v>0</v>
      </c>
      <c r="AE158" s="4">
        <v>0</v>
      </c>
      <c r="AF158" s="4">
        <v>0</v>
      </c>
      <c r="AG158" s="23">
        <v>0</v>
      </c>
      <c r="AH158" s="34"/>
      <c r="AI158" s="35"/>
    </row>
    <row r="159" spans="1:35" ht="154">
      <c r="A159" s="140">
        <v>11</v>
      </c>
      <c r="B159" s="12" t="s">
        <v>1131</v>
      </c>
      <c r="C159" s="4" t="s">
        <v>1132</v>
      </c>
      <c r="D159" s="4" t="s">
        <v>288</v>
      </c>
      <c r="E159" s="4" t="s">
        <v>1096</v>
      </c>
      <c r="F159" s="43" t="s">
        <v>1133</v>
      </c>
      <c r="G159" s="4" t="s">
        <v>508</v>
      </c>
      <c r="H159" s="4" t="s">
        <v>508</v>
      </c>
      <c r="I159" s="4" t="s">
        <v>508</v>
      </c>
      <c r="J159" s="4" t="s">
        <v>57</v>
      </c>
      <c r="K159" s="4" t="s">
        <v>1097</v>
      </c>
      <c r="L159" s="4">
        <v>1</v>
      </c>
      <c r="M159" s="4">
        <v>0</v>
      </c>
      <c r="N159" s="14">
        <v>0</v>
      </c>
      <c r="O159" s="140" t="s">
        <v>508</v>
      </c>
      <c r="P159" s="45">
        <v>43388</v>
      </c>
      <c r="Q159" s="45">
        <v>43891</v>
      </c>
      <c r="R159" s="49"/>
      <c r="S159" s="49"/>
      <c r="T159" s="49"/>
      <c r="U159" s="4" t="s">
        <v>90</v>
      </c>
      <c r="V159" s="4">
        <v>0</v>
      </c>
      <c r="W159" s="4">
        <v>0</v>
      </c>
      <c r="X159" s="4">
        <v>0</v>
      </c>
      <c r="Y159" s="4">
        <v>0</v>
      </c>
      <c r="Z159" s="4">
        <v>0</v>
      </c>
      <c r="AA159" s="21">
        <v>0</v>
      </c>
      <c r="AB159" s="22">
        <v>0</v>
      </c>
      <c r="AC159" s="4">
        <v>0</v>
      </c>
      <c r="AD159" s="4">
        <v>0</v>
      </c>
      <c r="AE159" s="4">
        <v>0</v>
      </c>
      <c r="AF159" s="4">
        <v>0</v>
      </c>
      <c r="AG159" s="23">
        <v>0</v>
      </c>
      <c r="AH159" s="34"/>
      <c r="AI159" s="35"/>
    </row>
    <row r="160" spans="1:35" ht="14">
      <c r="A160" s="132"/>
      <c r="B160" s="141" t="s">
        <v>1134</v>
      </c>
      <c r="C160" s="132"/>
      <c r="D160" s="132"/>
      <c r="E160" s="132"/>
      <c r="F160" s="134"/>
      <c r="G160" s="132"/>
      <c r="H160" s="132"/>
      <c r="I160" s="132"/>
      <c r="J160" s="132"/>
      <c r="K160" s="132"/>
      <c r="L160" s="132"/>
      <c r="M160" s="132"/>
      <c r="N160" s="132"/>
      <c r="O160" s="132"/>
      <c r="P160" s="135"/>
      <c r="Q160" s="135"/>
      <c r="R160" s="136"/>
      <c r="S160" s="136"/>
      <c r="T160" s="136"/>
      <c r="U160" s="132"/>
      <c r="V160" s="132"/>
      <c r="W160" s="132"/>
      <c r="X160" s="132"/>
      <c r="Y160" s="132"/>
      <c r="Z160" s="132"/>
      <c r="AA160" s="137"/>
      <c r="AB160" s="138"/>
      <c r="AC160" s="132"/>
      <c r="AD160" s="132"/>
      <c r="AE160" s="132"/>
      <c r="AF160" s="132"/>
      <c r="AG160" s="139"/>
      <c r="AH160" s="34"/>
      <c r="AI160" s="35"/>
    </row>
    <row r="161" spans="1:35" ht="13">
      <c r="A161" s="8"/>
      <c r="B161" s="8"/>
      <c r="C161" s="8"/>
      <c r="D161" s="8"/>
      <c r="E161" s="8"/>
      <c r="F161" s="87"/>
      <c r="G161" s="8"/>
      <c r="H161" s="8"/>
      <c r="I161" s="8"/>
      <c r="J161" s="8"/>
      <c r="K161" s="8"/>
      <c r="L161" s="8"/>
      <c r="M161" s="8"/>
      <c r="N161" s="8"/>
      <c r="O161" s="8"/>
      <c r="P161" s="88"/>
      <c r="Q161" s="88"/>
      <c r="R161" s="49"/>
      <c r="S161" s="49"/>
      <c r="T161" s="49"/>
      <c r="U161" s="8"/>
      <c r="V161" s="8"/>
      <c r="W161" s="8"/>
      <c r="X161" s="8"/>
      <c r="Y161" s="8"/>
      <c r="Z161" s="8"/>
      <c r="AA161" s="31"/>
      <c r="AB161" s="32"/>
      <c r="AC161" s="8"/>
      <c r="AD161" s="8"/>
      <c r="AE161" s="8"/>
      <c r="AF161" s="8"/>
      <c r="AG161" s="33"/>
      <c r="AH161" s="34"/>
      <c r="AI161" s="35"/>
    </row>
    <row r="162" spans="1:35" ht="14">
      <c r="A162" s="142"/>
      <c r="B162" s="143" t="s">
        <v>1136</v>
      </c>
      <c r="C162" s="142"/>
      <c r="D162" s="142"/>
      <c r="E162" s="142"/>
      <c r="F162" s="144"/>
      <c r="G162" s="142"/>
      <c r="H162" s="142"/>
      <c r="I162" s="142"/>
      <c r="J162" s="142"/>
      <c r="K162" s="142"/>
      <c r="L162" s="142"/>
      <c r="M162" s="142"/>
      <c r="N162" s="142"/>
      <c r="O162" s="142"/>
      <c r="P162" s="145"/>
      <c r="Q162" s="145"/>
      <c r="R162" s="146"/>
      <c r="S162" s="146"/>
      <c r="T162" s="146"/>
      <c r="U162" s="142"/>
      <c r="V162" s="142"/>
      <c r="W162" s="142"/>
      <c r="X162" s="142"/>
      <c r="Y162" s="142"/>
      <c r="Z162" s="142"/>
      <c r="AA162" s="147"/>
      <c r="AB162" s="148"/>
      <c r="AC162" s="142"/>
      <c r="AD162" s="142"/>
      <c r="AE162" s="142"/>
      <c r="AF162" s="142"/>
      <c r="AG162" s="149"/>
      <c r="AH162" s="150"/>
      <c r="AI162" s="142"/>
    </row>
    <row r="163" spans="1:35" ht="126">
      <c r="A163" s="4">
        <v>1</v>
      </c>
      <c r="B163" s="4" t="s">
        <v>1138</v>
      </c>
      <c r="C163" s="4" t="s">
        <v>1139</v>
      </c>
      <c r="D163" s="8"/>
      <c r="E163" s="8"/>
      <c r="F163" s="87"/>
      <c r="G163" s="8"/>
      <c r="H163" s="8"/>
      <c r="I163" s="8"/>
      <c r="J163" s="8"/>
      <c r="K163" s="8"/>
      <c r="L163" s="8"/>
      <c r="M163" s="8"/>
      <c r="N163" s="8"/>
      <c r="O163" s="8"/>
      <c r="P163" s="45">
        <v>43466</v>
      </c>
      <c r="Q163" s="45">
        <v>43708</v>
      </c>
      <c r="R163" s="49"/>
      <c r="S163" s="49"/>
      <c r="T163" s="49"/>
      <c r="U163" s="8"/>
      <c r="V163" s="8"/>
      <c r="W163" s="8"/>
      <c r="X163" s="8"/>
      <c r="Y163" s="8"/>
      <c r="Z163" s="8"/>
      <c r="AA163" s="31"/>
      <c r="AB163" s="32"/>
      <c r="AC163" s="8"/>
      <c r="AD163" s="8"/>
      <c r="AE163" s="8"/>
      <c r="AF163" s="8"/>
      <c r="AG163" s="33"/>
      <c r="AH163" s="34"/>
      <c r="AI163" s="35"/>
    </row>
    <row r="164" spans="1:35" ht="238">
      <c r="A164" s="4">
        <v>2</v>
      </c>
      <c r="B164" s="4" t="s">
        <v>1140</v>
      </c>
      <c r="C164" s="4" t="s">
        <v>1141</v>
      </c>
      <c r="D164" s="8"/>
      <c r="E164" s="8"/>
      <c r="F164" s="87"/>
      <c r="G164" s="8"/>
      <c r="H164" s="8"/>
      <c r="I164" s="8"/>
      <c r="J164" s="8"/>
      <c r="K164" s="8"/>
      <c r="L164" s="8"/>
      <c r="M164" s="8"/>
      <c r="N164" s="8"/>
      <c r="O164" s="8"/>
      <c r="P164" s="45">
        <v>43466</v>
      </c>
      <c r="Q164" s="45">
        <v>43708</v>
      </c>
      <c r="R164" s="49"/>
      <c r="S164" s="49"/>
      <c r="T164" s="49"/>
      <c r="U164" s="8"/>
      <c r="V164" s="8"/>
      <c r="W164" s="8"/>
      <c r="X164" s="8"/>
      <c r="Y164" s="8"/>
      <c r="Z164" s="8"/>
      <c r="AA164" s="31"/>
      <c r="AB164" s="32"/>
      <c r="AC164" s="8"/>
      <c r="AD164" s="8"/>
      <c r="AE164" s="8"/>
      <c r="AF164" s="8"/>
      <c r="AG164" s="33"/>
      <c r="AH164" s="34"/>
      <c r="AI164" s="35"/>
    </row>
    <row r="165" spans="1:35" ht="112">
      <c r="A165" s="4">
        <v>3</v>
      </c>
      <c r="B165" s="4" t="s">
        <v>1142</v>
      </c>
      <c r="C165" s="4" t="s">
        <v>1143</v>
      </c>
      <c r="D165" s="8"/>
      <c r="E165" s="8"/>
      <c r="F165" s="87"/>
      <c r="G165" s="8"/>
      <c r="H165" s="8"/>
      <c r="I165" s="8"/>
      <c r="J165" s="8"/>
      <c r="K165" s="8"/>
      <c r="L165" s="8"/>
      <c r="M165" s="8"/>
      <c r="N165" s="8"/>
      <c r="O165" s="8"/>
      <c r="P165" s="45">
        <v>43466</v>
      </c>
      <c r="Q165" s="45">
        <v>43830</v>
      </c>
      <c r="R165" s="49"/>
      <c r="S165" s="49"/>
      <c r="T165" s="49"/>
      <c r="U165" s="8"/>
      <c r="V165" s="8"/>
      <c r="W165" s="8"/>
      <c r="X165" s="8"/>
      <c r="Y165" s="8"/>
      <c r="Z165" s="8"/>
      <c r="AA165" s="31"/>
      <c r="AB165" s="32"/>
      <c r="AC165" s="8"/>
      <c r="AD165" s="8"/>
      <c r="AE165" s="8"/>
      <c r="AF165" s="8"/>
      <c r="AG165" s="33"/>
      <c r="AH165" s="34"/>
      <c r="AI165" s="35"/>
    </row>
    <row r="166" spans="1:35" ht="126">
      <c r="A166" s="4">
        <v>4</v>
      </c>
      <c r="B166" s="4" t="s">
        <v>1145</v>
      </c>
      <c r="C166" s="4" t="s">
        <v>1146</v>
      </c>
      <c r="D166" s="8"/>
      <c r="E166" s="8"/>
      <c r="F166" s="87"/>
      <c r="G166" s="8"/>
      <c r="H166" s="8"/>
      <c r="I166" s="8"/>
      <c r="J166" s="8"/>
      <c r="K166" s="8"/>
      <c r="L166" s="8"/>
      <c r="M166" s="8"/>
      <c r="N166" s="8"/>
      <c r="O166" s="8"/>
      <c r="P166" s="45">
        <v>43466</v>
      </c>
      <c r="Q166" s="45">
        <v>43830</v>
      </c>
      <c r="R166" s="49"/>
      <c r="S166" s="49"/>
      <c r="T166" s="49"/>
      <c r="U166" s="8"/>
      <c r="V166" s="8"/>
      <c r="W166" s="8"/>
      <c r="X166" s="8"/>
      <c r="Y166" s="8"/>
      <c r="Z166" s="8"/>
      <c r="AA166" s="31"/>
      <c r="AB166" s="32"/>
      <c r="AC166" s="8"/>
      <c r="AD166" s="8"/>
      <c r="AE166" s="8"/>
      <c r="AF166" s="8"/>
      <c r="AG166" s="33"/>
      <c r="AH166" s="34"/>
      <c r="AI166" s="35"/>
    </row>
    <row r="167" spans="1:35" ht="98">
      <c r="A167" s="4">
        <v>5</v>
      </c>
      <c r="B167" s="4" t="s">
        <v>1147</v>
      </c>
      <c r="C167" s="4" t="s">
        <v>1148</v>
      </c>
      <c r="D167" s="8"/>
      <c r="E167" s="8"/>
      <c r="F167" s="87"/>
      <c r="G167" s="8"/>
      <c r="H167" s="8"/>
      <c r="I167" s="8"/>
      <c r="J167" s="8"/>
      <c r="K167" s="8"/>
      <c r="L167" s="8"/>
      <c r="M167" s="8"/>
      <c r="N167" s="8"/>
      <c r="O167" s="8"/>
      <c r="P167" s="45">
        <v>43466</v>
      </c>
      <c r="Q167" s="45">
        <v>43830</v>
      </c>
      <c r="R167" s="49"/>
      <c r="S167" s="49"/>
      <c r="T167" s="49"/>
      <c r="U167" s="8"/>
      <c r="V167" s="8"/>
      <c r="W167" s="8"/>
      <c r="X167" s="8"/>
      <c r="Y167" s="8"/>
      <c r="Z167" s="8"/>
      <c r="AA167" s="31"/>
      <c r="AB167" s="32"/>
      <c r="AC167" s="8"/>
      <c r="AD167" s="8"/>
      <c r="AE167" s="8"/>
      <c r="AF167" s="8"/>
      <c r="AG167" s="33"/>
      <c r="AH167" s="34"/>
      <c r="AI167" s="35"/>
    </row>
    <row r="168" spans="1:35" ht="84">
      <c r="A168" s="4">
        <v>6</v>
      </c>
      <c r="B168" s="4" t="s">
        <v>1149</v>
      </c>
      <c r="C168" s="4" t="s">
        <v>1150</v>
      </c>
      <c r="D168" s="8"/>
      <c r="E168" s="8"/>
      <c r="F168" s="87"/>
      <c r="G168" s="8"/>
      <c r="H168" s="8"/>
      <c r="I168" s="8"/>
      <c r="J168" s="8"/>
      <c r="K168" s="8"/>
      <c r="L168" s="8"/>
      <c r="M168" s="8"/>
      <c r="N168" s="8"/>
      <c r="O168" s="8"/>
      <c r="P168" s="45">
        <v>43466</v>
      </c>
      <c r="Q168" s="45">
        <v>45657</v>
      </c>
      <c r="R168" s="49"/>
      <c r="S168" s="49"/>
      <c r="T168" s="49"/>
      <c r="U168" s="8"/>
      <c r="V168" s="8"/>
      <c r="W168" s="8"/>
      <c r="X168" s="8"/>
      <c r="Y168" s="8"/>
      <c r="Z168" s="8"/>
      <c r="AA168" s="31"/>
      <c r="AB168" s="32"/>
      <c r="AC168" s="8"/>
      <c r="AD168" s="8"/>
      <c r="AE168" s="8"/>
      <c r="AF168" s="8"/>
      <c r="AG168" s="33"/>
      <c r="AH168" s="34"/>
      <c r="AI168" s="35"/>
    </row>
    <row r="169" spans="1:35" ht="84">
      <c r="A169" s="4">
        <v>7</v>
      </c>
      <c r="B169" s="4" t="s">
        <v>1152</v>
      </c>
      <c r="C169" s="4" t="s">
        <v>1153</v>
      </c>
      <c r="D169" s="8"/>
      <c r="E169" s="8"/>
      <c r="F169" s="87"/>
      <c r="G169" s="8"/>
      <c r="H169" s="8"/>
      <c r="I169" s="8"/>
      <c r="J169" s="8"/>
      <c r="K169" s="8"/>
      <c r="L169" s="8"/>
      <c r="M169" s="8"/>
      <c r="N169" s="8"/>
      <c r="O169" s="8"/>
      <c r="P169" s="88"/>
      <c r="Q169" s="88"/>
      <c r="R169" s="49"/>
      <c r="S169" s="49"/>
      <c r="T169" s="49"/>
      <c r="U169" s="8"/>
      <c r="V169" s="8"/>
      <c r="W169" s="8"/>
      <c r="X169" s="8"/>
      <c r="Y169" s="8"/>
      <c r="Z169" s="8"/>
      <c r="AA169" s="31"/>
      <c r="AB169" s="32"/>
      <c r="AC169" s="8"/>
      <c r="AD169" s="8"/>
      <c r="AE169" s="8"/>
      <c r="AF169" s="8"/>
      <c r="AG169" s="33"/>
      <c r="AH169" s="34"/>
      <c r="AI169" s="35"/>
    </row>
    <row r="170" spans="1:35" ht="126">
      <c r="A170" s="4">
        <v>8</v>
      </c>
      <c r="B170" s="4" t="s">
        <v>1154</v>
      </c>
      <c r="C170" s="4" t="s">
        <v>1155</v>
      </c>
      <c r="D170" s="8"/>
      <c r="E170" s="8"/>
      <c r="F170" s="87"/>
      <c r="G170" s="8"/>
      <c r="H170" s="8"/>
      <c r="I170" s="8"/>
      <c r="J170" s="8"/>
      <c r="K170" s="8"/>
      <c r="L170" s="8"/>
      <c r="M170" s="8"/>
      <c r="N170" s="8"/>
      <c r="O170" s="8"/>
      <c r="P170" s="88"/>
      <c r="Q170" s="88"/>
      <c r="R170" s="49"/>
      <c r="S170" s="49"/>
      <c r="T170" s="49"/>
      <c r="U170" s="8"/>
      <c r="V170" s="8"/>
      <c r="W170" s="8"/>
      <c r="X170" s="8"/>
      <c r="Y170" s="8"/>
      <c r="Z170" s="8"/>
      <c r="AA170" s="31"/>
      <c r="AB170" s="32"/>
      <c r="AC170" s="8"/>
      <c r="AD170" s="8"/>
      <c r="AE170" s="8"/>
      <c r="AF170" s="8"/>
      <c r="AG170" s="33"/>
      <c r="AH170" s="34"/>
      <c r="AI170" s="35"/>
    </row>
    <row r="171" spans="1:35" ht="70">
      <c r="A171" s="4">
        <v>9</v>
      </c>
      <c r="B171" s="4" t="s">
        <v>1156</v>
      </c>
      <c r="C171" s="4" t="s">
        <v>1157</v>
      </c>
      <c r="D171" s="8"/>
      <c r="E171" s="8"/>
      <c r="F171" s="87"/>
      <c r="G171" s="8"/>
      <c r="H171" s="8"/>
      <c r="I171" s="8"/>
      <c r="J171" s="8"/>
      <c r="K171" s="8"/>
      <c r="L171" s="8"/>
      <c r="M171" s="8"/>
      <c r="N171" s="8"/>
      <c r="O171" s="8"/>
      <c r="P171" s="88"/>
      <c r="Q171" s="88"/>
      <c r="R171" s="49"/>
      <c r="S171" s="49"/>
      <c r="T171" s="49"/>
      <c r="U171" s="8"/>
      <c r="V171" s="8"/>
      <c r="W171" s="8"/>
      <c r="X171" s="8"/>
      <c r="Y171" s="8"/>
      <c r="Z171" s="8"/>
      <c r="AA171" s="31"/>
      <c r="AB171" s="32"/>
      <c r="AC171" s="8"/>
      <c r="AD171" s="8"/>
      <c r="AE171" s="8"/>
      <c r="AF171" s="8"/>
      <c r="AG171" s="33"/>
      <c r="AH171" s="34"/>
      <c r="AI171" s="35"/>
    </row>
    <row r="172" spans="1:35" ht="140">
      <c r="A172" s="4">
        <v>10</v>
      </c>
      <c r="B172" s="4" t="s">
        <v>1159</v>
      </c>
      <c r="C172" s="4" t="s">
        <v>1160</v>
      </c>
      <c r="D172" s="8"/>
      <c r="E172" s="8"/>
      <c r="F172" s="87"/>
      <c r="G172" s="8"/>
      <c r="H172" s="8"/>
      <c r="I172" s="8"/>
      <c r="J172" s="8"/>
      <c r="K172" s="8"/>
      <c r="L172" s="8"/>
      <c r="M172" s="8"/>
      <c r="N172" s="8"/>
      <c r="O172" s="8"/>
      <c r="P172" s="88"/>
      <c r="Q172" s="88"/>
      <c r="R172" s="49"/>
      <c r="S172" s="49"/>
      <c r="T172" s="49"/>
      <c r="U172" s="8"/>
      <c r="V172" s="8"/>
      <c r="W172" s="8"/>
      <c r="X172" s="8"/>
      <c r="Y172" s="8"/>
      <c r="Z172" s="8"/>
      <c r="AA172" s="31"/>
      <c r="AB172" s="32"/>
      <c r="AC172" s="8"/>
      <c r="AD172" s="8"/>
      <c r="AE172" s="8"/>
      <c r="AF172" s="8"/>
      <c r="AG172" s="33"/>
      <c r="AH172" s="34"/>
      <c r="AI172" s="35"/>
    </row>
    <row r="173" spans="1:35" ht="70">
      <c r="A173" s="4">
        <v>11</v>
      </c>
      <c r="B173" s="4" t="s">
        <v>1161</v>
      </c>
      <c r="C173" s="4" t="s">
        <v>1162</v>
      </c>
      <c r="D173" s="8"/>
      <c r="E173" s="8"/>
      <c r="F173" s="87"/>
      <c r="G173" s="8"/>
      <c r="H173" s="8"/>
      <c r="I173" s="8"/>
      <c r="J173" s="8"/>
      <c r="K173" s="8"/>
      <c r="L173" s="8"/>
      <c r="M173" s="8"/>
      <c r="N173" s="8"/>
      <c r="O173" s="8"/>
      <c r="P173" s="88"/>
      <c r="Q173" s="88"/>
      <c r="R173" s="49"/>
      <c r="S173" s="49"/>
      <c r="T173" s="49"/>
      <c r="U173" s="8"/>
      <c r="V173" s="8"/>
      <c r="W173" s="8"/>
      <c r="X173" s="8"/>
      <c r="Y173" s="8"/>
      <c r="Z173" s="8"/>
      <c r="AA173" s="31"/>
      <c r="AB173" s="32"/>
      <c r="AC173" s="8"/>
      <c r="AD173" s="8"/>
      <c r="AE173" s="8"/>
      <c r="AF173" s="8"/>
      <c r="AG173" s="33"/>
      <c r="AH173" s="34"/>
      <c r="AI173" s="35"/>
    </row>
    <row r="174" spans="1:35" ht="126">
      <c r="A174" s="4">
        <v>12</v>
      </c>
      <c r="B174" s="4" t="s">
        <v>1164</v>
      </c>
      <c r="C174" s="4" t="s">
        <v>1165</v>
      </c>
      <c r="D174" s="8"/>
      <c r="E174" s="8"/>
      <c r="F174" s="87"/>
      <c r="G174" s="8"/>
      <c r="H174" s="8"/>
      <c r="I174" s="8"/>
      <c r="J174" s="8"/>
      <c r="K174" s="8"/>
      <c r="L174" s="8"/>
      <c r="M174" s="8"/>
      <c r="N174" s="8"/>
      <c r="O174" s="8"/>
      <c r="P174" s="88"/>
      <c r="Q174" s="88"/>
      <c r="R174" s="49"/>
      <c r="S174" s="49"/>
      <c r="T174" s="49"/>
      <c r="U174" s="8"/>
      <c r="V174" s="8"/>
      <c r="W174" s="8"/>
      <c r="X174" s="8"/>
      <c r="Y174" s="8"/>
      <c r="Z174" s="8"/>
      <c r="AA174" s="31"/>
      <c r="AB174" s="32"/>
      <c r="AC174" s="8"/>
      <c r="AD174" s="8"/>
      <c r="AE174" s="8"/>
      <c r="AF174" s="8"/>
      <c r="AG174" s="33"/>
      <c r="AH174" s="34"/>
      <c r="AI174" s="35"/>
    </row>
    <row r="175" spans="1:35" ht="252">
      <c r="A175" s="4">
        <v>13</v>
      </c>
      <c r="B175" s="4" t="s">
        <v>1167</v>
      </c>
      <c r="C175" s="4" t="s">
        <v>1168</v>
      </c>
      <c r="D175" s="8"/>
      <c r="E175" s="8"/>
      <c r="F175" s="87"/>
      <c r="G175" s="8"/>
      <c r="H175" s="8"/>
      <c r="I175" s="8"/>
      <c r="J175" s="8"/>
      <c r="K175" s="8"/>
      <c r="L175" s="8"/>
      <c r="M175" s="8"/>
      <c r="N175" s="8"/>
      <c r="O175" s="8"/>
      <c r="P175" s="88"/>
      <c r="Q175" s="88"/>
      <c r="R175" s="49"/>
      <c r="S175" s="49"/>
      <c r="T175" s="49"/>
      <c r="U175" s="8"/>
      <c r="V175" s="8"/>
      <c r="W175" s="8"/>
      <c r="X175" s="8"/>
      <c r="Y175" s="8"/>
      <c r="Z175" s="8"/>
      <c r="AA175" s="31"/>
      <c r="AB175" s="32"/>
      <c r="AC175" s="8"/>
      <c r="AD175" s="8"/>
      <c r="AE175" s="8"/>
      <c r="AF175" s="8"/>
      <c r="AG175" s="33"/>
      <c r="AH175" s="34"/>
      <c r="AI175" s="35"/>
    </row>
    <row r="176" spans="1:35" ht="84">
      <c r="A176" s="4">
        <v>14</v>
      </c>
      <c r="B176" s="4" t="s">
        <v>1169</v>
      </c>
      <c r="C176" s="4" t="s">
        <v>1170</v>
      </c>
      <c r="D176" s="8"/>
      <c r="E176" s="8"/>
      <c r="F176" s="87"/>
      <c r="G176" s="8"/>
      <c r="H176" s="8"/>
      <c r="I176" s="8"/>
      <c r="J176" s="8"/>
      <c r="K176" s="8"/>
      <c r="L176" s="8"/>
      <c r="M176" s="8"/>
      <c r="N176" s="8"/>
      <c r="O176" s="8"/>
      <c r="P176" s="88"/>
      <c r="Q176" s="88"/>
      <c r="R176" s="49"/>
      <c r="S176" s="49"/>
      <c r="T176" s="49"/>
      <c r="U176" s="8"/>
      <c r="V176" s="8"/>
      <c r="W176" s="8"/>
      <c r="X176" s="8"/>
      <c r="Y176" s="8"/>
      <c r="Z176" s="8"/>
      <c r="AA176" s="31"/>
      <c r="AB176" s="32"/>
      <c r="AC176" s="8"/>
      <c r="AD176" s="8"/>
      <c r="AE176" s="8"/>
      <c r="AF176" s="8"/>
      <c r="AG176" s="33"/>
      <c r="AH176" s="34"/>
      <c r="AI176" s="35"/>
    </row>
    <row r="177" spans="1:35" ht="126">
      <c r="A177" s="4">
        <v>15</v>
      </c>
      <c r="B177" s="4" t="s">
        <v>1172</v>
      </c>
      <c r="C177" s="4" t="s">
        <v>1173</v>
      </c>
      <c r="D177" s="8"/>
      <c r="E177" s="8"/>
      <c r="F177" s="87"/>
      <c r="G177" s="8"/>
      <c r="H177" s="8"/>
      <c r="I177" s="8"/>
      <c r="J177" s="8"/>
      <c r="K177" s="8"/>
      <c r="L177" s="8"/>
      <c r="M177" s="8"/>
      <c r="N177" s="8"/>
      <c r="O177" s="8"/>
      <c r="P177" s="88"/>
      <c r="Q177" s="88"/>
      <c r="R177" s="49"/>
      <c r="S177" s="49"/>
      <c r="T177" s="49"/>
      <c r="U177" s="8"/>
      <c r="V177" s="8"/>
      <c r="W177" s="8"/>
      <c r="X177" s="8"/>
      <c r="Y177" s="8"/>
      <c r="Z177" s="8"/>
      <c r="AA177" s="31"/>
      <c r="AB177" s="32"/>
      <c r="AC177" s="8"/>
      <c r="AD177" s="8"/>
      <c r="AE177" s="8"/>
      <c r="AF177" s="8"/>
      <c r="AG177" s="33"/>
      <c r="AH177" s="34"/>
      <c r="AI177" s="35"/>
    </row>
    <row r="178" spans="1:35" ht="56">
      <c r="A178" s="4">
        <v>16</v>
      </c>
      <c r="B178" s="4" t="s">
        <v>1174</v>
      </c>
      <c r="C178" s="4" t="s">
        <v>1175</v>
      </c>
      <c r="D178" s="8"/>
      <c r="E178" s="8"/>
      <c r="F178" s="87"/>
      <c r="G178" s="8"/>
      <c r="H178" s="8"/>
      <c r="I178" s="8"/>
      <c r="J178" s="8"/>
      <c r="K178" s="8"/>
      <c r="L178" s="8"/>
      <c r="M178" s="8"/>
      <c r="N178" s="8"/>
      <c r="O178" s="8"/>
      <c r="P178" s="88"/>
      <c r="Q178" s="88"/>
      <c r="R178" s="49"/>
      <c r="S178" s="49"/>
      <c r="T178" s="49"/>
      <c r="U178" s="8"/>
      <c r="V178" s="8"/>
      <c r="W178" s="8"/>
      <c r="X178" s="8"/>
      <c r="Y178" s="8"/>
      <c r="Z178" s="8"/>
      <c r="AA178" s="31"/>
      <c r="AB178" s="32"/>
      <c r="AC178" s="8"/>
      <c r="AD178" s="8"/>
      <c r="AE178" s="8"/>
      <c r="AF178" s="8"/>
      <c r="AG178" s="33"/>
      <c r="AH178" s="34"/>
      <c r="AI178" s="35"/>
    </row>
    <row r="179" spans="1:35" ht="56">
      <c r="A179" s="4">
        <v>17</v>
      </c>
      <c r="B179" s="4" t="s">
        <v>1177</v>
      </c>
      <c r="C179" s="4" t="s">
        <v>1178</v>
      </c>
      <c r="D179" s="8"/>
      <c r="E179" s="8"/>
      <c r="F179" s="87"/>
      <c r="G179" s="8"/>
      <c r="H179" s="8"/>
      <c r="I179" s="8"/>
      <c r="J179" s="8"/>
      <c r="K179" s="8"/>
      <c r="L179" s="8"/>
      <c r="M179" s="8"/>
      <c r="N179" s="8"/>
      <c r="O179" s="8"/>
      <c r="P179" s="88"/>
      <c r="Q179" s="88"/>
      <c r="R179" s="49"/>
      <c r="S179" s="49"/>
      <c r="T179" s="49"/>
      <c r="U179" s="8"/>
      <c r="V179" s="8"/>
      <c r="W179" s="8"/>
      <c r="X179" s="8"/>
      <c r="Y179" s="8"/>
      <c r="Z179" s="8"/>
      <c r="AA179" s="31"/>
      <c r="AB179" s="32"/>
      <c r="AC179" s="8"/>
      <c r="AD179" s="8"/>
      <c r="AE179" s="8"/>
      <c r="AF179" s="8"/>
      <c r="AG179" s="33"/>
      <c r="AH179" s="34"/>
      <c r="AI179" s="35"/>
    </row>
    <row r="180" spans="1:35" ht="14">
      <c r="A180" s="142"/>
      <c r="B180" s="151" t="s">
        <v>1180</v>
      </c>
      <c r="C180" s="142"/>
      <c r="D180" s="142"/>
      <c r="E180" s="142"/>
      <c r="F180" s="144"/>
      <c r="G180" s="142"/>
      <c r="H180" s="142"/>
      <c r="I180" s="142"/>
      <c r="J180" s="142"/>
      <c r="K180" s="142"/>
      <c r="L180" s="142"/>
      <c r="M180" s="142"/>
      <c r="N180" s="142"/>
      <c r="O180" s="142"/>
      <c r="P180" s="145"/>
      <c r="Q180" s="145"/>
      <c r="R180" s="146"/>
      <c r="S180" s="146"/>
      <c r="T180" s="146"/>
      <c r="U180" s="142"/>
      <c r="V180" s="142"/>
      <c r="W180" s="142"/>
      <c r="X180" s="142"/>
      <c r="Y180" s="142"/>
      <c r="Z180" s="142"/>
      <c r="AA180" s="147"/>
      <c r="AB180" s="148"/>
      <c r="AC180" s="142"/>
      <c r="AD180" s="142"/>
      <c r="AE180" s="142"/>
      <c r="AF180" s="142"/>
      <c r="AG180" s="149"/>
      <c r="AH180" s="150"/>
      <c r="AI180" s="142"/>
    </row>
    <row r="181" spans="1:35" ht="13">
      <c r="A181" s="8"/>
      <c r="B181" s="8"/>
      <c r="C181" s="8"/>
      <c r="D181" s="8"/>
      <c r="E181" s="8"/>
      <c r="F181" s="87"/>
      <c r="G181" s="8"/>
      <c r="H181" s="8"/>
      <c r="I181" s="8"/>
      <c r="J181" s="8"/>
      <c r="K181" s="8"/>
      <c r="L181" s="8"/>
      <c r="M181" s="8"/>
      <c r="N181" s="8"/>
      <c r="O181" s="8"/>
      <c r="P181" s="88"/>
      <c r="Q181" s="88"/>
      <c r="R181" s="49"/>
      <c r="S181" s="49"/>
      <c r="T181" s="49"/>
      <c r="U181" s="8"/>
      <c r="V181" s="8"/>
      <c r="W181" s="8"/>
      <c r="X181" s="8"/>
      <c r="Y181" s="8"/>
      <c r="Z181" s="8"/>
      <c r="AA181" s="31"/>
      <c r="AB181" s="32"/>
      <c r="AC181" s="8"/>
      <c r="AD181" s="8"/>
      <c r="AE181" s="8"/>
      <c r="AF181" s="8"/>
      <c r="AG181" s="33"/>
      <c r="AH181" s="34"/>
      <c r="AI181" s="35"/>
    </row>
    <row r="182" spans="1:35" ht="28">
      <c r="A182" s="51"/>
      <c r="B182" s="51" t="s">
        <v>1182</v>
      </c>
      <c r="C182" s="51"/>
      <c r="D182" s="51"/>
      <c r="E182" s="51"/>
      <c r="F182" s="51"/>
      <c r="G182" s="51"/>
      <c r="H182" s="51"/>
      <c r="I182" s="51"/>
      <c r="J182" s="51"/>
      <c r="K182" s="51"/>
      <c r="L182" s="51"/>
      <c r="M182" s="51">
        <v>0</v>
      </c>
      <c r="N182" s="51"/>
      <c r="O182" s="51" t="s">
        <v>1183</v>
      </c>
      <c r="P182" s="51"/>
      <c r="Q182" s="51"/>
      <c r="R182" s="51"/>
      <c r="S182" s="51"/>
      <c r="T182" s="51"/>
      <c r="U182" s="51"/>
      <c r="V182" s="51"/>
      <c r="W182" s="51"/>
      <c r="X182" s="51"/>
      <c r="Y182" s="51"/>
      <c r="Z182" s="51"/>
      <c r="AA182" s="152"/>
      <c r="AB182" s="153"/>
      <c r="AC182" s="51"/>
      <c r="AD182" s="51"/>
      <c r="AE182" s="51"/>
      <c r="AF182" s="51"/>
      <c r="AG182" s="154"/>
      <c r="AH182" s="155"/>
      <c r="AI182" s="51"/>
    </row>
    <row r="183" spans="1:35" ht="306">
      <c r="A183" s="4">
        <v>1</v>
      </c>
      <c r="B183" s="4" t="s">
        <v>1184</v>
      </c>
      <c r="C183" s="4" t="s">
        <v>1185</v>
      </c>
      <c r="D183" s="4" t="s">
        <v>288</v>
      </c>
      <c r="E183" s="4" t="s">
        <v>1186</v>
      </c>
      <c r="F183" s="43" t="s">
        <v>290</v>
      </c>
      <c r="G183" s="4">
        <v>15</v>
      </c>
      <c r="H183" s="4">
        <v>2</v>
      </c>
      <c r="I183" s="4" t="s">
        <v>1187</v>
      </c>
      <c r="J183" s="4" t="s">
        <v>57</v>
      </c>
      <c r="K183" s="4" t="s">
        <v>1188</v>
      </c>
      <c r="L183" s="4">
        <v>1</v>
      </c>
      <c r="M183" s="4">
        <v>0</v>
      </c>
      <c r="N183" s="4">
        <v>0</v>
      </c>
      <c r="O183" s="4"/>
      <c r="P183" s="156">
        <v>43388</v>
      </c>
      <c r="Q183" s="156">
        <v>45646</v>
      </c>
      <c r="R183" s="49"/>
      <c r="S183" s="49"/>
      <c r="T183" s="49"/>
      <c r="U183" s="4" t="s">
        <v>90</v>
      </c>
      <c r="V183" s="4">
        <v>50</v>
      </c>
      <c r="W183" s="4">
        <v>0</v>
      </c>
      <c r="X183" s="4">
        <v>10</v>
      </c>
      <c r="Y183" s="4">
        <v>10</v>
      </c>
      <c r="Z183" s="4">
        <v>10</v>
      </c>
      <c r="AA183" s="21">
        <v>10</v>
      </c>
      <c r="AB183" s="32"/>
      <c r="AC183" s="4">
        <v>0</v>
      </c>
      <c r="AD183" s="4">
        <v>10</v>
      </c>
      <c r="AE183" s="4">
        <v>10</v>
      </c>
      <c r="AF183" s="4" t="s">
        <v>508</v>
      </c>
      <c r="AG183" s="23" t="s">
        <v>508</v>
      </c>
      <c r="AH183" s="47" t="s">
        <v>1190</v>
      </c>
      <c r="AI183" s="48" t="s">
        <v>1191</v>
      </c>
    </row>
    <row r="184" spans="1:35" ht="126.75" customHeight="1">
      <c r="A184" s="4">
        <v>2</v>
      </c>
      <c r="B184" s="4" t="s">
        <v>1192</v>
      </c>
      <c r="C184" s="4" t="s">
        <v>1193</v>
      </c>
      <c r="D184" s="4" t="s">
        <v>288</v>
      </c>
      <c r="E184" s="4" t="s">
        <v>1186</v>
      </c>
      <c r="F184" s="43" t="s">
        <v>309</v>
      </c>
      <c r="G184" s="4">
        <v>15</v>
      </c>
      <c r="H184" s="4">
        <v>2</v>
      </c>
      <c r="I184" s="8"/>
      <c r="J184" s="4" t="s">
        <v>57</v>
      </c>
      <c r="K184" s="4" t="s">
        <v>1194</v>
      </c>
      <c r="L184" s="4">
        <v>1</v>
      </c>
      <c r="M184" s="4">
        <v>0</v>
      </c>
      <c r="N184" s="4">
        <v>0</v>
      </c>
      <c r="O184" s="8"/>
      <c r="P184" s="156">
        <v>43388</v>
      </c>
      <c r="Q184" s="156">
        <v>45646</v>
      </c>
      <c r="R184" s="49"/>
      <c r="S184" s="49"/>
      <c r="T184" s="49"/>
      <c r="U184" s="4" t="s">
        <v>90</v>
      </c>
      <c r="V184" s="4">
        <v>1451</v>
      </c>
      <c r="W184" s="4">
        <v>0</v>
      </c>
      <c r="X184" s="4">
        <v>200</v>
      </c>
      <c r="Y184" s="4">
        <v>300</v>
      </c>
      <c r="Z184" s="4">
        <v>300</v>
      </c>
      <c r="AA184" s="21">
        <v>240</v>
      </c>
      <c r="AB184" s="32"/>
      <c r="AC184" s="4">
        <v>0</v>
      </c>
      <c r="AD184" s="4">
        <v>200</v>
      </c>
      <c r="AE184" s="4">
        <v>300</v>
      </c>
      <c r="AF184" s="4" t="s">
        <v>508</v>
      </c>
      <c r="AG184" s="23" t="s">
        <v>508</v>
      </c>
      <c r="AH184" s="47" t="s">
        <v>1195</v>
      </c>
      <c r="AI184" s="48" t="s">
        <v>1191</v>
      </c>
    </row>
    <row r="185" spans="1:35" ht="126">
      <c r="A185" s="4">
        <v>3</v>
      </c>
      <c r="B185" s="4" t="s">
        <v>1196</v>
      </c>
      <c r="C185" s="4" t="s">
        <v>1197</v>
      </c>
      <c r="D185" s="4" t="s">
        <v>288</v>
      </c>
      <c r="E185" s="4" t="s">
        <v>1186</v>
      </c>
      <c r="F185" s="43" t="s">
        <v>317</v>
      </c>
      <c r="G185" s="4">
        <v>15</v>
      </c>
      <c r="H185" s="4">
        <v>2</v>
      </c>
      <c r="I185" s="8"/>
      <c r="J185" s="4" t="s">
        <v>57</v>
      </c>
      <c r="K185" s="4" t="s">
        <v>1194</v>
      </c>
      <c r="L185" s="8"/>
      <c r="M185" s="8"/>
      <c r="N185" s="4">
        <v>0</v>
      </c>
      <c r="O185" s="8"/>
      <c r="P185" s="156">
        <v>43388</v>
      </c>
      <c r="Q185" s="157">
        <v>44185</v>
      </c>
      <c r="R185" s="49"/>
      <c r="S185" s="49"/>
      <c r="T185" s="49"/>
      <c r="U185" s="4" t="s">
        <v>90</v>
      </c>
      <c r="V185" s="4">
        <v>0</v>
      </c>
      <c r="W185" s="4">
        <v>0</v>
      </c>
      <c r="X185" s="4">
        <v>0</v>
      </c>
      <c r="Y185" s="4">
        <v>0</v>
      </c>
      <c r="Z185" s="4">
        <v>0</v>
      </c>
      <c r="AA185" s="21">
        <v>0</v>
      </c>
      <c r="AB185" s="22" t="s">
        <v>508</v>
      </c>
      <c r="AC185" s="4" t="s">
        <v>508</v>
      </c>
      <c r="AD185" s="4" t="s">
        <v>508</v>
      </c>
      <c r="AE185" s="4" t="s">
        <v>508</v>
      </c>
      <c r="AF185" s="4" t="s">
        <v>508</v>
      </c>
      <c r="AG185" s="23" t="s">
        <v>508</v>
      </c>
      <c r="AH185" s="34"/>
      <c r="AI185" s="35"/>
    </row>
    <row r="186" spans="1:35" ht="293">
      <c r="A186" s="4">
        <v>4</v>
      </c>
      <c r="B186" s="4" t="s">
        <v>1199</v>
      </c>
      <c r="C186" s="4" t="s">
        <v>1200</v>
      </c>
      <c r="D186" s="4" t="s">
        <v>288</v>
      </c>
      <c r="E186" s="4" t="s">
        <v>1186</v>
      </c>
      <c r="F186" s="43" t="s">
        <v>357</v>
      </c>
      <c r="G186" s="4">
        <v>15</v>
      </c>
      <c r="H186" s="4">
        <v>2</v>
      </c>
      <c r="I186" s="8"/>
      <c r="J186" s="4" t="s">
        <v>57</v>
      </c>
      <c r="K186" s="4" t="s">
        <v>1201</v>
      </c>
      <c r="L186" s="8"/>
      <c r="M186" s="4">
        <v>1</v>
      </c>
      <c r="N186" s="4">
        <v>0</v>
      </c>
      <c r="O186" s="8"/>
      <c r="P186" s="45">
        <v>43388</v>
      </c>
      <c r="Q186" s="45">
        <v>45646</v>
      </c>
      <c r="R186" s="49"/>
      <c r="S186" s="49"/>
      <c r="T186" s="49"/>
      <c r="U186" s="4" t="s">
        <v>96</v>
      </c>
      <c r="V186" s="4">
        <v>959.35</v>
      </c>
      <c r="W186" s="4">
        <v>1000</v>
      </c>
      <c r="X186" s="4">
        <v>500</v>
      </c>
      <c r="Y186" s="4">
        <v>800</v>
      </c>
      <c r="Z186" s="4">
        <v>1040</v>
      </c>
      <c r="AA186" s="21">
        <v>1050</v>
      </c>
      <c r="AB186" s="32"/>
      <c r="AC186" s="4">
        <v>500</v>
      </c>
      <c r="AD186" s="4">
        <v>800</v>
      </c>
      <c r="AE186" s="4">
        <v>1040</v>
      </c>
      <c r="AF186" s="4" t="s">
        <v>508</v>
      </c>
      <c r="AG186" s="23" t="s">
        <v>508</v>
      </c>
      <c r="AH186" s="47" t="s">
        <v>1202</v>
      </c>
      <c r="AI186" s="48" t="s">
        <v>1191</v>
      </c>
    </row>
    <row r="187" spans="1:35" ht="182">
      <c r="A187" s="4">
        <v>5</v>
      </c>
      <c r="B187" s="4" t="s">
        <v>1203</v>
      </c>
      <c r="C187" s="4" t="s">
        <v>1204</v>
      </c>
      <c r="D187" s="4" t="s">
        <v>288</v>
      </c>
      <c r="E187" s="4" t="s">
        <v>1186</v>
      </c>
      <c r="F187" s="43" t="s">
        <v>360</v>
      </c>
      <c r="G187" s="4">
        <v>15</v>
      </c>
      <c r="H187" s="4">
        <v>2</v>
      </c>
      <c r="I187" s="8"/>
      <c r="J187" s="4" t="s">
        <v>57</v>
      </c>
      <c r="K187" s="4" t="s">
        <v>1205</v>
      </c>
      <c r="L187" s="8"/>
      <c r="M187" s="4">
        <v>1</v>
      </c>
      <c r="N187" s="4">
        <v>0</v>
      </c>
      <c r="O187" s="8"/>
      <c r="P187" s="156">
        <v>43388</v>
      </c>
      <c r="Q187" s="156">
        <v>45646</v>
      </c>
      <c r="R187" s="49"/>
      <c r="S187" s="49"/>
      <c r="T187" s="49"/>
      <c r="U187" s="4" t="s">
        <v>90</v>
      </c>
      <c r="V187" s="4">
        <v>0</v>
      </c>
      <c r="W187" s="4">
        <v>0</v>
      </c>
      <c r="X187" s="4">
        <v>0</v>
      </c>
      <c r="Y187" s="4">
        <v>0</v>
      </c>
      <c r="Z187" s="4">
        <v>0</v>
      </c>
      <c r="AA187" s="21">
        <v>0</v>
      </c>
      <c r="AB187" s="22" t="s">
        <v>508</v>
      </c>
      <c r="AC187" s="4" t="s">
        <v>508</v>
      </c>
      <c r="AD187" s="4" t="s">
        <v>508</v>
      </c>
      <c r="AE187" s="4" t="s">
        <v>508</v>
      </c>
      <c r="AF187" s="4" t="s">
        <v>508</v>
      </c>
      <c r="AG187" s="23" t="s">
        <v>508</v>
      </c>
      <c r="AH187" s="34"/>
      <c r="AI187" s="35"/>
    </row>
    <row r="188" spans="1:35" ht="126">
      <c r="A188" s="4">
        <v>6</v>
      </c>
      <c r="B188" s="4" t="s">
        <v>1206</v>
      </c>
      <c r="C188" s="4" t="s">
        <v>1207</v>
      </c>
      <c r="D188" s="4" t="s">
        <v>288</v>
      </c>
      <c r="E188" s="4" t="s">
        <v>1186</v>
      </c>
      <c r="F188" s="43" t="s">
        <v>365</v>
      </c>
      <c r="G188" s="4">
        <v>15</v>
      </c>
      <c r="H188" s="4">
        <v>2</v>
      </c>
      <c r="I188" s="8"/>
      <c r="J188" s="4" t="s">
        <v>57</v>
      </c>
      <c r="K188" s="4" t="s">
        <v>1208</v>
      </c>
      <c r="L188" s="8"/>
      <c r="M188" s="4">
        <v>1</v>
      </c>
      <c r="N188" s="4">
        <v>0</v>
      </c>
      <c r="O188" s="8"/>
      <c r="P188" s="156">
        <v>43388</v>
      </c>
      <c r="Q188" s="156">
        <v>45646</v>
      </c>
      <c r="R188" s="49"/>
      <c r="S188" s="49"/>
      <c r="T188" s="49"/>
      <c r="U188" s="4" t="s">
        <v>96</v>
      </c>
      <c r="V188" s="4">
        <v>186</v>
      </c>
      <c r="W188" s="4">
        <v>0</v>
      </c>
      <c r="X188" s="4">
        <v>152</v>
      </c>
      <c r="Y188" s="4">
        <v>172</v>
      </c>
      <c r="Z188" s="4">
        <v>172.5</v>
      </c>
      <c r="AA188" s="21">
        <v>228</v>
      </c>
      <c r="AB188" s="32"/>
      <c r="AC188" s="4">
        <v>152</v>
      </c>
      <c r="AD188" s="4">
        <v>172</v>
      </c>
      <c r="AE188" s="4">
        <v>172.5</v>
      </c>
      <c r="AF188" s="4" t="s">
        <v>508</v>
      </c>
      <c r="AG188" s="23" t="s">
        <v>508</v>
      </c>
      <c r="AH188" s="47" t="s">
        <v>1210</v>
      </c>
      <c r="AI188" s="48" t="s">
        <v>1191</v>
      </c>
    </row>
    <row r="189" spans="1:35" ht="140">
      <c r="A189" s="4">
        <v>7</v>
      </c>
      <c r="B189" s="4" t="s">
        <v>1211</v>
      </c>
      <c r="C189" s="4" t="s">
        <v>1212</v>
      </c>
      <c r="D189" s="4" t="s">
        <v>288</v>
      </c>
      <c r="E189" s="4" t="s">
        <v>1186</v>
      </c>
      <c r="F189" s="43" t="s">
        <v>368</v>
      </c>
      <c r="G189" s="4">
        <v>15</v>
      </c>
      <c r="H189" s="4">
        <v>2</v>
      </c>
      <c r="I189" s="8"/>
      <c r="J189" s="4" t="s">
        <v>57</v>
      </c>
      <c r="K189" s="4" t="s">
        <v>1205</v>
      </c>
      <c r="L189" s="8"/>
      <c r="M189" s="4">
        <v>1</v>
      </c>
      <c r="N189" s="4">
        <v>0</v>
      </c>
      <c r="O189" s="8"/>
      <c r="P189" s="156">
        <v>43388</v>
      </c>
      <c r="Q189" s="156">
        <v>45646</v>
      </c>
      <c r="R189" s="49"/>
      <c r="S189" s="49"/>
      <c r="T189" s="49"/>
      <c r="U189" s="4" t="s">
        <v>96</v>
      </c>
      <c r="V189" s="4">
        <v>0</v>
      </c>
      <c r="W189" s="4">
        <v>0</v>
      </c>
      <c r="X189" s="4">
        <v>0</v>
      </c>
      <c r="Y189" s="4">
        <v>0</v>
      </c>
      <c r="Z189" s="4">
        <v>0</v>
      </c>
      <c r="AA189" s="21">
        <v>0</v>
      </c>
      <c r="AB189" s="22" t="s">
        <v>508</v>
      </c>
      <c r="AC189" s="4" t="s">
        <v>508</v>
      </c>
      <c r="AD189" s="4" t="s">
        <v>508</v>
      </c>
      <c r="AE189" s="4" t="s">
        <v>508</v>
      </c>
      <c r="AF189" s="4" t="s">
        <v>508</v>
      </c>
      <c r="AG189" s="23" t="s">
        <v>508</v>
      </c>
      <c r="AH189" s="34"/>
      <c r="AI189" s="35"/>
    </row>
    <row r="190" spans="1:35" ht="13">
      <c r="A190" s="8"/>
      <c r="B190" s="8"/>
      <c r="C190" s="8"/>
      <c r="D190" s="8"/>
      <c r="E190" s="8"/>
      <c r="F190" s="87"/>
      <c r="G190" s="8"/>
      <c r="H190" s="8"/>
      <c r="I190" s="8"/>
      <c r="J190" s="8"/>
      <c r="K190" s="8"/>
      <c r="L190" s="8"/>
      <c r="M190" s="8"/>
      <c r="N190" s="8"/>
      <c r="O190" s="8"/>
      <c r="P190" s="88"/>
      <c r="Q190" s="88"/>
      <c r="R190" s="49"/>
      <c r="S190" s="49"/>
      <c r="T190" s="49"/>
      <c r="U190" s="8"/>
      <c r="V190" s="8"/>
      <c r="W190" s="8"/>
      <c r="X190" s="8"/>
      <c r="Y190" s="8"/>
      <c r="Z190" s="8"/>
      <c r="AA190" s="31"/>
      <c r="AB190" s="32"/>
      <c r="AC190" s="8"/>
      <c r="AD190" s="8"/>
      <c r="AE190" s="8"/>
      <c r="AF190" s="8"/>
      <c r="AG190" s="33"/>
      <c r="AH190" s="34"/>
      <c r="AI190" s="35"/>
    </row>
    <row r="191" spans="1:35" ht="13">
      <c r="A191" s="8"/>
      <c r="B191" s="8"/>
      <c r="C191" s="8"/>
      <c r="D191" s="8"/>
      <c r="E191" s="8"/>
      <c r="F191" s="87"/>
      <c r="G191" s="8"/>
      <c r="H191" s="8"/>
      <c r="I191" s="8"/>
      <c r="J191" s="8"/>
      <c r="K191" s="8"/>
      <c r="L191" s="8"/>
      <c r="M191" s="8"/>
      <c r="N191" s="8"/>
      <c r="O191" s="8"/>
      <c r="P191" s="88"/>
      <c r="Q191" s="88"/>
      <c r="R191" s="49"/>
      <c r="S191" s="49"/>
      <c r="T191" s="49"/>
      <c r="U191" s="8"/>
      <c r="V191" s="8"/>
      <c r="W191" s="8"/>
      <c r="X191" s="8"/>
      <c r="Y191" s="8"/>
      <c r="Z191" s="8"/>
      <c r="AA191" s="31"/>
      <c r="AB191" s="32"/>
      <c r="AC191" s="8"/>
      <c r="AD191" s="8"/>
      <c r="AE191" s="8"/>
      <c r="AF191" s="8"/>
      <c r="AG191" s="33"/>
      <c r="AH191" s="34"/>
      <c r="AI191" s="35"/>
    </row>
    <row r="192" spans="1:35" ht="14">
      <c r="A192" s="36"/>
      <c r="B192" s="51" t="s">
        <v>1215</v>
      </c>
      <c r="C192" s="38"/>
      <c r="D192" s="38"/>
      <c r="E192" s="38"/>
      <c r="F192" s="39"/>
      <c r="G192" s="38"/>
      <c r="H192" s="38"/>
      <c r="I192" s="38"/>
      <c r="J192" s="38"/>
      <c r="K192" s="38"/>
      <c r="L192" s="36"/>
      <c r="M192" s="38"/>
      <c r="N192" s="38"/>
      <c r="O192" s="38"/>
      <c r="P192" s="41"/>
      <c r="Q192" s="41"/>
      <c r="R192" s="42"/>
      <c r="S192" s="8"/>
      <c r="T192" s="42"/>
      <c r="U192" s="38"/>
      <c r="V192" s="8"/>
      <c r="W192" s="8"/>
      <c r="X192" s="8"/>
      <c r="Y192" s="8"/>
      <c r="Z192" s="8"/>
      <c r="AA192" s="31"/>
      <c r="AB192" s="32"/>
      <c r="AC192" s="8"/>
      <c r="AD192" s="8"/>
      <c r="AE192" s="8"/>
      <c r="AF192" s="8"/>
      <c r="AG192" s="33"/>
      <c r="AH192" s="34"/>
      <c r="AI192" s="35"/>
    </row>
    <row r="193" spans="1:35" ht="13">
      <c r="A193" s="8"/>
      <c r="B193" s="8"/>
      <c r="C193" s="8"/>
      <c r="D193" s="8"/>
      <c r="E193" s="8"/>
      <c r="F193" s="87"/>
      <c r="G193" s="8"/>
      <c r="H193" s="8"/>
      <c r="I193" s="8"/>
      <c r="J193" s="8"/>
      <c r="K193" s="8"/>
      <c r="L193" s="8"/>
      <c r="M193" s="8"/>
      <c r="N193" s="8"/>
      <c r="O193" s="8"/>
      <c r="P193" s="88"/>
      <c r="Q193" s="88"/>
      <c r="R193" s="49"/>
      <c r="S193" s="49"/>
      <c r="T193" s="49"/>
      <c r="U193" s="8"/>
      <c r="V193" s="8"/>
      <c r="W193" s="8"/>
      <c r="X193" s="8"/>
      <c r="Y193" s="8"/>
      <c r="Z193" s="8"/>
      <c r="AA193" s="31"/>
      <c r="AB193" s="32"/>
      <c r="AC193" s="8"/>
      <c r="AD193" s="8"/>
      <c r="AE193" s="8"/>
      <c r="AF193" s="8"/>
      <c r="AG193" s="33"/>
      <c r="AH193" s="34"/>
      <c r="AI193" s="35"/>
    </row>
    <row r="194" spans="1:35" ht="13">
      <c r="A194" s="8"/>
      <c r="B194" s="8"/>
      <c r="C194" s="8"/>
      <c r="D194" s="8"/>
      <c r="E194" s="8"/>
      <c r="F194" s="87"/>
      <c r="G194" s="8"/>
      <c r="H194" s="8"/>
      <c r="I194" s="8"/>
      <c r="J194" s="8"/>
      <c r="K194" s="8"/>
      <c r="L194" s="8"/>
      <c r="M194" s="8"/>
      <c r="N194" s="8"/>
      <c r="O194" s="8"/>
      <c r="P194" s="88"/>
      <c r="Q194" s="88"/>
      <c r="R194" s="49"/>
      <c r="S194" s="49"/>
      <c r="T194" s="49"/>
      <c r="U194" s="8"/>
      <c r="V194" s="8"/>
      <c r="W194" s="8"/>
      <c r="X194" s="8"/>
      <c r="Y194" s="8"/>
      <c r="Z194" s="8"/>
      <c r="AA194" s="31"/>
      <c r="AB194" s="32"/>
      <c r="AC194" s="8"/>
      <c r="AD194" s="8"/>
      <c r="AE194" s="8"/>
      <c r="AF194" s="8"/>
      <c r="AG194" s="33"/>
      <c r="AH194" s="34"/>
      <c r="AI194" s="35"/>
    </row>
    <row r="195" spans="1:35" ht="13">
      <c r="A195" s="8"/>
      <c r="B195" s="8"/>
      <c r="C195" s="8"/>
      <c r="D195" s="8"/>
      <c r="E195" s="8"/>
      <c r="F195" s="87"/>
      <c r="G195" s="8"/>
      <c r="H195" s="8"/>
      <c r="I195" s="8"/>
      <c r="J195" s="8"/>
      <c r="K195" s="8"/>
      <c r="L195" s="8"/>
      <c r="M195" s="8"/>
      <c r="N195" s="8"/>
      <c r="O195" s="8"/>
      <c r="P195" s="88"/>
      <c r="Q195" s="88"/>
      <c r="R195" s="49"/>
      <c r="S195" s="49"/>
      <c r="T195" s="49"/>
      <c r="U195" s="8"/>
      <c r="V195" s="8"/>
      <c r="W195" s="8"/>
      <c r="X195" s="8"/>
      <c r="Y195" s="8"/>
      <c r="Z195" s="8"/>
      <c r="AA195" s="31"/>
      <c r="AB195" s="32"/>
      <c r="AC195" s="8"/>
      <c r="AD195" s="8"/>
      <c r="AE195" s="8"/>
      <c r="AF195" s="8"/>
      <c r="AG195" s="33"/>
      <c r="AH195" s="34"/>
      <c r="AI195" s="35"/>
    </row>
    <row r="196" spans="1:35" ht="42">
      <c r="A196" s="36" t="s">
        <v>222</v>
      </c>
      <c r="B196" s="51" t="s">
        <v>1217</v>
      </c>
      <c r="C196" s="38"/>
      <c r="D196" s="38"/>
      <c r="E196" s="38"/>
      <c r="F196" s="39"/>
      <c r="G196" s="38"/>
      <c r="H196" s="38"/>
      <c r="I196" s="38"/>
      <c r="J196" s="38"/>
      <c r="K196" s="38"/>
      <c r="L196" s="36" t="s">
        <v>222</v>
      </c>
      <c r="M196" s="38"/>
      <c r="N196" s="38"/>
      <c r="O196" s="38"/>
      <c r="P196" s="41"/>
      <c r="Q196" s="41"/>
      <c r="R196" s="42"/>
      <c r="S196" s="8"/>
      <c r="T196" s="42"/>
      <c r="U196" s="38"/>
      <c r="V196" s="36"/>
      <c r="W196" s="36"/>
      <c r="X196" s="36"/>
      <c r="Y196" s="36"/>
      <c r="Z196" s="36"/>
      <c r="AA196" s="158"/>
      <c r="AB196" s="32"/>
      <c r="AC196" s="8"/>
      <c r="AD196" s="8"/>
      <c r="AE196" s="8"/>
      <c r="AF196" s="8"/>
      <c r="AG196" s="33"/>
      <c r="AH196" s="34"/>
      <c r="AI196" s="35"/>
    </row>
    <row r="197" spans="1:35" ht="42">
      <c r="A197" s="8"/>
      <c r="B197" s="159" t="s">
        <v>1218</v>
      </c>
      <c r="C197" s="4" t="s">
        <v>1219</v>
      </c>
      <c r="D197" s="4" t="s">
        <v>720</v>
      </c>
      <c r="E197" s="4" t="s">
        <v>838</v>
      </c>
      <c r="F197" s="43" t="s">
        <v>290</v>
      </c>
      <c r="G197" s="8"/>
      <c r="H197" s="8"/>
      <c r="I197" s="8"/>
      <c r="J197" s="4" t="s">
        <v>5</v>
      </c>
      <c r="K197" s="8"/>
      <c r="L197" s="4">
        <v>1</v>
      </c>
      <c r="M197" s="8"/>
      <c r="N197" s="8"/>
      <c r="O197" s="8"/>
      <c r="P197" s="45">
        <v>43374</v>
      </c>
      <c r="Q197" s="45">
        <v>45646</v>
      </c>
      <c r="R197" s="49"/>
      <c r="S197" s="49"/>
      <c r="T197" s="49"/>
      <c r="U197" s="4" t="s">
        <v>90</v>
      </c>
      <c r="V197" s="8"/>
      <c r="W197" s="8"/>
      <c r="X197" s="8"/>
      <c r="Y197" s="8"/>
      <c r="Z197" s="8"/>
      <c r="AA197" s="31"/>
      <c r="AB197" s="32"/>
      <c r="AC197" s="8"/>
      <c r="AD197" s="8"/>
      <c r="AE197" s="8"/>
      <c r="AF197" s="8"/>
      <c r="AG197" s="33"/>
      <c r="AH197" s="34"/>
      <c r="AI197" s="35"/>
    </row>
    <row r="198" spans="1:35" ht="70">
      <c r="A198" s="8"/>
      <c r="B198" s="159" t="s">
        <v>1221</v>
      </c>
      <c r="C198" s="4" t="s">
        <v>1222</v>
      </c>
      <c r="D198" s="4" t="s">
        <v>720</v>
      </c>
      <c r="E198" s="4" t="s">
        <v>838</v>
      </c>
      <c r="F198" s="43" t="s">
        <v>309</v>
      </c>
      <c r="G198" s="8"/>
      <c r="H198" s="8"/>
      <c r="I198" s="8"/>
      <c r="J198" s="4" t="s">
        <v>5</v>
      </c>
      <c r="K198" s="8"/>
      <c r="L198" s="4">
        <v>1</v>
      </c>
      <c r="M198" s="8"/>
      <c r="N198" s="8"/>
      <c r="O198" s="8"/>
      <c r="P198" s="45">
        <v>43374</v>
      </c>
      <c r="Q198" s="45">
        <v>43570</v>
      </c>
      <c r="R198" s="49"/>
      <c r="S198" s="49"/>
      <c r="T198" s="49"/>
      <c r="U198" s="4" t="s">
        <v>90</v>
      </c>
      <c r="V198" s="8"/>
      <c r="W198" s="8"/>
      <c r="X198" s="8"/>
      <c r="Y198" s="8"/>
      <c r="Z198" s="8"/>
      <c r="AA198" s="31"/>
      <c r="AB198" s="32"/>
      <c r="AC198" s="8"/>
      <c r="AD198" s="8"/>
      <c r="AE198" s="8"/>
      <c r="AF198" s="8"/>
      <c r="AG198" s="33"/>
      <c r="AH198" s="34"/>
      <c r="AI198" s="35"/>
    </row>
    <row r="199" spans="1:35" ht="56">
      <c r="A199" s="8"/>
      <c r="B199" s="159" t="s">
        <v>1223</v>
      </c>
      <c r="C199" s="4" t="s">
        <v>1224</v>
      </c>
      <c r="D199" s="4" t="s">
        <v>720</v>
      </c>
      <c r="E199" s="4" t="s">
        <v>838</v>
      </c>
      <c r="F199" s="43" t="s">
        <v>317</v>
      </c>
      <c r="G199" s="8"/>
      <c r="H199" s="8"/>
      <c r="I199" s="8"/>
      <c r="J199" s="4" t="s">
        <v>5</v>
      </c>
      <c r="K199" s="8"/>
      <c r="L199" s="4">
        <v>1</v>
      </c>
      <c r="M199" s="8"/>
      <c r="N199" s="8"/>
      <c r="O199" s="8"/>
      <c r="P199" s="45">
        <v>43374</v>
      </c>
      <c r="Q199" s="45">
        <v>43678</v>
      </c>
      <c r="R199" s="49"/>
      <c r="S199" s="49"/>
      <c r="T199" s="49"/>
      <c r="U199" s="4" t="s">
        <v>90</v>
      </c>
      <c r="V199" s="8"/>
      <c r="W199" s="8"/>
      <c r="X199" s="8"/>
      <c r="Y199" s="8"/>
      <c r="Z199" s="8"/>
      <c r="AA199" s="31"/>
      <c r="AB199" s="32"/>
      <c r="AC199" s="8"/>
      <c r="AD199" s="8"/>
      <c r="AE199" s="8"/>
      <c r="AF199" s="8"/>
      <c r="AG199" s="33"/>
      <c r="AH199" s="34"/>
      <c r="AI199" s="35"/>
    </row>
    <row r="200" spans="1:35" ht="56">
      <c r="A200" s="8"/>
      <c r="B200" s="4" t="s">
        <v>1225</v>
      </c>
      <c r="C200" s="4" t="s">
        <v>1226</v>
      </c>
      <c r="D200" s="4" t="s">
        <v>720</v>
      </c>
      <c r="E200" s="4" t="s">
        <v>838</v>
      </c>
      <c r="F200" s="43" t="s">
        <v>322</v>
      </c>
      <c r="G200" s="8"/>
      <c r="H200" s="8"/>
      <c r="I200" s="8"/>
      <c r="J200" s="4" t="s">
        <v>5</v>
      </c>
      <c r="K200" s="8"/>
      <c r="L200" s="4">
        <v>1</v>
      </c>
      <c r="M200" s="8"/>
      <c r="N200" s="8"/>
      <c r="O200" s="8"/>
      <c r="P200" s="45">
        <v>43374</v>
      </c>
      <c r="Q200" s="45">
        <v>43739</v>
      </c>
      <c r="R200" s="49"/>
      <c r="S200" s="49"/>
      <c r="T200" s="49"/>
      <c r="U200" s="4" t="s">
        <v>90</v>
      </c>
      <c r="V200" s="8"/>
      <c r="W200" s="8"/>
      <c r="X200" s="8"/>
      <c r="Y200" s="8"/>
      <c r="Z200" s="8"/>
      <c r="AA200" s="31"/>
      <c r="AB200" s="32"/>
      <c r="AC200" s="8"/>
      <c r="AD200" s="8"/>
      <c r="AE200" s="8"/>
      <c r="AF200" s="8"/>
      <c r="AG200" s="33"/>
      <c r="AH200" s="34"/>
      <c r="AI200" s="35"/>
    </row>
    <row r="201" spans="1:35" ht="105" customHeight="1">
      <c r="A201" s="8"/>
      <c r="B201" s="4" t="s">
        <v>1227</v>
      </c>
      <c r="C201" s="4" t="s">
        <v>1228</v>
      </c>
      <c r="D201" s="4" t="s">
        <v>720</v>
      </c>
      <c r="E201" s="4" t="s">
        <v>838</v>
      </c>
      <c r="F201" s="43" t="s">
        <v>329</v>
      </c>
      <c r="G201" s="8"/>
      <c r="H201" s="8"/>
      <c r="I201" s="8"/>
      <c r="J201" s="4" t="s">
        <v>5</v>
      </c>
      <c r="K201" s="8"/>
      <c r="L201" s="4">
        <v>1</v>
      </c>
      <c r="M201" s="8"/>
      <c r="N201" s="8"/>
      <c r="O201" s="8"/>
      <c r="P201" s="45">
        <v>43374</v>
      </c>
      <c r="Q201" s="45">
        <v>45657</v>
      </c>
      <c r="R201" s="49"/>
      <c r="S201" s="49"/>
      <c r="T201" s="49"/>
      <c r="U201" s="4" t="s">
        <v>96</v>
      </c>
      <c r="V201" s="4" t="s">
        <v>1230</v>
      </c>
      <c r="W201" s="4">
        <v>930.6</v>
      </c>
      <c r="X201" s="4" t="s">
        <v>1231</v>
      </c>
      <c r="Y201" s="4" t="s">
        <v>1232</v>
      </c>
      <c r="Z201" s="4" t="s">
        <v>1233</v>
      </c>
      <c r="AA201" s="21" t="s">
        <v>1233</v>
      </c>
      <c r="AB201" s="32"/>
      <c r="AC201" s="8"/>
      <c r="AD201" s="8"/>
      <c r="AE201" s="8"/>
      <c r="AF201" s="8"/>
      <c r="AG201" s="33"/>
      <c r="AH201" s="34"/>
      <c r="AI201" s="35"/>
    </row>
    <row r="202" spans="1:35" ht="56">
      <c r="A202" s="8"/>
      <c r="B202" s="4" t="s">
        <v>1234</v>
      </c>
      <c r="C202" s="4" t="s">
        <v>1235</v>
      </c>
      <c r="D202" s="4" t="s">
        <v>720</v>
      </c>
      <c r="E202" s="4" t="s">
        <v>838</v>
      </c>
      <c r="F202" s="43" t="s">
        <v>335</v>
      </c>
      <c r="G202" s="8"/>
      <c r="H202" s="8"/>
      <c r="I202" s="8"/>
      <c r="J202" s="4" t="s">
        <v>5</v>
      </c>
      <c r="K202" s="8"/>
      <c r="L202" s="4">
        <v>1</v>
      </c>
      <c r="M202" s="8"/>
      <c r="N202" s="8"/>
      <c r="O202" s="8"/>
      <c r="P202" s="45">
        <v>43374</v>
      </c>
      <c r="Q202" s="45">
        <v>45708</v>
      </c>
      <c r="R202" s="49"/>
      <c r="S202" s="49"/>
      <c r="T202" s="49"/>
      <c r="U202" s="4" t="s">
        <v>90</v>
      </c>
      <c r="V202" s="8"/>
      <c r="W202" s="8"/>
      <c r="X202" s="8"/>
      <c r="Y202" s="8"/>
      <c r="Z202" s="8"/>
      <c r="AA202" s="31"/>
      <c r="AB202" s="32"/>
      <c r="AC202" s="8"/>
      <c r="AD202" s="8"/>
      <c r="AE202" s="8"/>
      <c r="AF202" s="8"/>
      <c r="AG202" s="33"/>
      <c r="AH202" s="34"/>
      <c r="AI202" s="35"/>
    </row>
    <row r="203" spans="1:35" ht="126">
      <c r="A203" s="8"/>
      <c r="B203" s="159" t="s">
        <v>1236</v>
      </c>
      <c r="C203" s="27" t="s">
        <v>1237</v>
      </c>
      <c r="D203" s="4" t="s">
        <v>720</v>
      </c>
      <c r="E203" s="4" t="s">
        <v>838</v>
      </c>
      <c r="F203" s="43" t="s">
        <v>357</v>
      </c>
      <c r="G203" s="8"/>
      <c r="H203" s="8"/>
      <c r="I203" s="8"/>
      <c r="J203" s="4" t="s">
        <v>5</v>
      </c>
      <c r="K203" s="8"/>
      <c r="L203" s="4">
        <v>1</v>
      </c>
      <c r="M203" s="8"/>
      <c r="N203" s="8"/>
      <c r="O203" s="8"/>
      <c r="P203" s="45">
        <v>43374</v>
      </c>
      <c r="Q203" s="45">
        <v>43647</v>
      </c>
      <c r="R203" s="49"/>
      <c r="S203" s="49"/>
      <c r="T203" s="49"/>
      <c r="U203" s="4" t="s">
        <v>90</v>
      </c>
      <c r="V203" s="4">
        <v>40</v>
      </c>
      <c r="W203" s="4">
        <v>0</v>
      </c>
      <c r="X203" s="4">
        <v>0</v>
      </c>
      <c r="Y203" s="4">
        <v>0</v>
      </c>
      <c r="Z203" s="4">
        <v>0</v>
      </c>
      <c r="AA203" s="21">
        <v>0</v>
      </c>
      <c r="AB203" s="32"/>
      <c r="AC203" s="8"/>
      <c r="AD203" s="8"/>
      <c r="AE203" s="8"/>
      <c r="AF203" s="8"/>
      <c r="AG203" s="33"/>
      <c r="AH203" s="34"/>
      <c r="AI203" s="35"/>
    </row>
    <row r="204" spans="1:35" ht="42">
      <c r="A204" s="8"/>
      <c r="B204" s="159" t="s">
        <v>1238</v>
      </c>
      <c r="C204" s="4" t="s">
        <v>1239</v>
      </c>
      <c r="D204" s="4" t="s">
        <v>720</v>
      </c>
      <c r="E204" s="4" t="s">
        <v>838</v>
      </c>
      <c r="F204" s="43" t="s">
        <v>360</v>
      </c>
      <c r="G204" s="8"/>
      <c r="H204" s="8"/>
      <c r="I204" s="8"/>
      <c r="J204" s="4" t="s">
        <v>5</v>
      </c>
      <c r="K204" s="8"/>
      <c r="L204" s="4">
        <v>1</v>
      </c>
      <c r="M204" s="8"/>
      <c r="N204" s="8"/>
      <c r="O204" s="8"/>
      <c r="P204" s="45">
        <v>43374</v>
      </c>
      <c r="Q204" s="45">
        <v>43678</v>
      </c>
      <c r="R204" s="49"/>
      <c r="S204" s="49"/>
      <c r="T204" s="49"/>
      <c r="U204" s="4" t="s">
        <v>90</v>
      </c>
      <c r="V204" s="8"/>
      <c r="W204" s="8"/>
      <c r="X204" s="8"/>
      <c r="Y204" s="8"/>
      <c r="Z204" s="8"/>
      <c r="AA204" s="31"/>
      <c r="AB204" s="32"/>
      <c r="AC204" s="8"/>
      <c r="AD204" s="8"/>
      <c r="AE204" s="8"/>
      <c r="AF204" s="8"/>
      <c r="AG204" s="33"/>
      <c r="AH204" s="34"/>
      <c r="AI204" s="35"/>
    </row>
    <row r="205" spans="1:35" ht="42">
      <c r="A205" s="8"/>
      <c r="B205" s="159" t="s">
        <v>1241</v>
      </c>
      <c r="C205" s="4" t="s">
        <v>1242</v>
      </c>
      <c r="D205" s="4" t="s">
        <v>720</v>
      </c>
      <c r="E205" s="4" t="s">
        <v>838</v>
      </c>
      <c r="F205" s="43" t="s">
        <v>365</v>
      </c>
      <c r="G205" s="8"/>
      <c r="H205" s="8"/>
      <c r="I205" s="8"/>
      <c r="J205" s="4" t="s">
        <v>5</v>
      </c>
      <c r="K205" s="8"/>
      <c r="L205" s="4">
        <v>1</v>
      </c>
      <c r="M205" s="8"/>
      <c r="N205" s="8"/>
      <c r="O205" s="8"/>
      <c r="P205" s="45">
        <v>43374</v>
      </c>
      <c r="Q205" s="45">
        <v>44013</v>
      </c>
      <c r="R205" s="49"/>
      <c r="S205" s="49"/>
      <c r="T205" s="49"/>
      <c r="U205" s="4" t="s">
        <v>90</v>
      </c>
      <c r="V205" s="8"/>
      <c r="W205" s="8"/>
      <c r="X205" s="8"/>
      <c r="Y205" s="8"/>
      <c r="Z205" s="8"/>
      <c r="AA205" s="31"/>
      <c r="AB205" s="32"/>
      <c r="AC205" s="8"/>
      <c r="AD205" s="8"/>
      <c r="AE205" s="8"/>
      <c r="AF205" s="8"/>
      <c r="AG205" s="33"/>
      <c r="AH205" s="34"/>
      <c r="AI205" s="35"/>
    </row>
    <row r="206" spans="1:35" ht="56">
      <c r="A206" s="8"/>
      <c r="B206" s="159" t="s">
        <v>1243</v>
      </c>
      <c r="C206" s="4" t="s">
        <v>1244</v>
      </c>
      <c r="D206" s="4" t="s">
        <v>720</v>
      </c>
      <c r="E206" s="4" t="s">
        <v>838</v>
      </c>
      <c r="F206" s="43" t="s">
        <v>368</v>
      </c>
      <c r="G206" s="4">
        <v>7</v>
      </c>
      <c r="H206" s="8"/>
      <c r="I206" s="8"/>
      <c r="J206" s="4" t="s">
        <v>5</v>
      </c>
      <c r="K206" s="8"/>
      <c r="L206" s="4">
        <v>1</v>
      </c>
      <c r="M206" s="8"/>
      <c r="N206" s="8"/>
      <c r="O206" s="8"/>
      <c r="P206" s="45">
        <v>43374</v>
      </c>
      <c r="Q206" s="45">
        <v>45657</v>
      </c>
      <c r="R206" s="49"/>
      <c r="S206" s="49"/>
      <c r="T206" s="49"/>
      <c r="U206" s="4" t="s">
        <v>96</v>
      </c>
      <c r="V206" s="4">
        <v>631.58000000000004</v>
      </c>
      <c r="W206" s="4">
        <v>902.59</v>
      </c>
      <c r="X206" s="4">
        <v>871.17</v>
      </c>
      <c r="Y206" s="4">
        <v>840.77</v>
      </c>
      <c r="Z206" s="4">
        <v>421.1</v>
      </c>
      <c r="AA206" s="21">
        <v>421.1</v>
      </c>
      <c r="AB206" s="32"/>
      <c r="AC206" s="8"/>
      <c r="AD206" s="8"/>
      <c r="AE206" s="8"/>
      <c r="AF206" s="8"/>
      <c r="AG206" s="33"/>
      <c r="AH206" s="34"/>
      <c r="AI206" s="35"/>
    </row>
    <row r="207" spans="1:35" ht="56">
      <c r="A207" s="8"/>
      <c r="B207" s="159" t="s">
        <v>1245</v>
      </c>
      <c r="C207" s="4" t="s">
        <v>1246</v>
      </c>
      <c r="D207" s="4" t="s">
        <v>720</v>
      </c>
      <c r="E207" s="4" t="s">
        <v>838</v>
      </c>
      <c r="F207" s="43" t="s">
        <v>371</v>
      </c>
      <c r="G207" s="8"/>
      <c r="H207" s="8"/>
      <c r="I207" s="8"/>
      <c r="J207" s="4" t="s">
        <v>5</v>
      </c>
      <c r="K207" s="8"/>
      <c r="L207" s="4">
        <v>1</v>
      </c>
      <c r="M207" s="8"/>
      <c r="N207" s="8"/>
      <c r="O207" s="8"/>
      <c r="P207" s="45">
        <v>43374</v>
      </c>
      <c r="Q207" s="45">
        <v>45657</v>
      </c>
      <c r="R207" s="49"/>
      <c r="S207" s="49"/>
      <c r="T207" s="49"/>
      <c r="U207" s="4" t="s">
        <v>96</v>
      </c>
      <c r="V207" s="4">
        <v>0</v>
      </c>
      <c r="W207" s="4">
        <v>0</v>
      </c>
      <c r="X207" s="4">
        <v>0</v>
      </c>
      <c r="Y207" s="4">
        <v>0</v>
      </c>
      <c r="Z207" s="4">
        <v>0</v>
      </c>
      <c r="AA207" s="21">
        <v>0</v>
      </c>
      <c r="AB207" s="32"/>
      <c r="AC207" s="8"/>
      <c r="AD207" s="8"/>
      <c r="AE207" s="8"/>
      <c r="AF207" s="8"/>
      <c r="AG207" s="33"/>
      <c r="AH207" s="34"/>
      <c r="AI207" s="35"/>
    </row>
    <row r="208" spans="1:35" ht="56">
      <c r="A208" s="8"/>
      <c r="B208" s="159" t="s">
        <v>1249</v>
      </c>
      <c r="C208" s="4" t="s">
        <v>1250</v>
      </c>
      <c r="D208" s="4" t="s">
        <v>720</v>
      </c>
      <c r="E208" s="4" t="s">
        <v>838</v>
      </c>
      <c r="F208" s="43" t="s">
        <v>376</v>
      </c>
      <c r="G208" s="8"/>
      <c r="H208" s="8"/>
      <c r="I208" s="8"/>
      <c r="J208" s="4" t="s">
        <v>5</v>
      </c>
      <c r="K208" s="8"/>
      <c r="L208" s="4">
        <v>1</v>
      </c>
      <c r="M208" s="8"/>
      <c r="N208" s="8"/>
      <c r="O208" s="8"/>
      <c r="P208" s="45">
        <v>43374</v>
      </c>
      <c r="Q208" s="45">
        <v>45657</v>
      </c>
      <c r="R208" s="49"/>
      <c r="S208" s="49"/>
      <c r="T208" s="49"/>
      <c r="U208" s="4" t="s">
        <v>96</v>
      </c>
      <c r="V208" s="4">
        <v>0</v>
      </c>
      <c r="W208" s="4">
        <v>0</v>
      </c>
      <c r="X208" s="4">
        <v>0</v>
      </c>
      <c r="Y208" s="4">
        <v>0</v>
      </c>
      <c r="Z208" s="4">
        <v>0</v>
      </c>
      <c r="AA208" s="21">
        <v>0</v>
      </c>
      <c r="AB208" s="32"/>
      <c r="AC208" s="8"/>
      <c r="AD208" s="8"/>
      <c r="AE208" s="8"/>
      <c r="AF208" s="8"/>
      <c r="AG208" s="33"/>
      <c r="AH208" s="34"/>
      <c r="AI208" s="35"/>
    </row>
    <row r="209" spans="1:35" ht="70">
      <c r="A209" s="8"/>
      <c r="B209" s="159" t="s">
        <v>1251</v>
      </c>
      <c r="C209" s="4"/>
      <c r="D209" s="4"/>
      <c r="E209" s="4"/>
      <c r="F209" s="43"/>
      <c r="G209" s="8"/>
      <c r="H209" s="8"/>
      <c r="I209" s="8"/>
      <c r="J209" s="8"/>
      <c r="K209" s="8"/>
      <c r="L209" s="8"/>
      <c r="M209" s="8"/>
      <c r="N209" s="8"/>
      <c r="O209" s="8"/>
      <c r="P209" s="45"/>
      <c r="Q209" s="45"/>
      <c r="R209" s="49"/>
      <c r="S209" s="49"/>
      <c r="T209" s="49"/>
      <c r="U209" s="4"/>
      <c r="V209" s="4"/>
      <c r="W209" s="4"/>
      <c r="X209" s="4"/>
      <c r="Y209" s="4"/>
      <c r="Z209" s="4"/>
      <c r="AA209" s="21"/>
      <c r="AB209" s="32"/>
      <c r="AC209" s="8"/>
      <c r="AD209" s="8"/>
      <c r="AE209" s="8"/>
      <c r="AF209" s="8"/>
      <c r="AG209" s="33"/>
      <c r="AH209" s="34"/>
      <c r="AI209" s="35"/>
    </row>
    <row r="210" spans="1:35" ht="70">
      <c r="A210" s="8"/>
      <c r="B210" s="160" t="s">
        <v>1252</v>
      </c>
      <c r="C210" s="4"/>
      <c r="D210" s="4"/>
      <c r="E210" s="4"/>
      <c r="F210" s="43"/>
      <c r="G210" s="8"/>
      <c r="H210" s="8"/>
      <c r="I210" s="8"/>
      <c r="J210" s="8"/>
      <c r="K210" s="8"/>
      <c r="L210" s="8"/>
      <c r="M210" s="8"/>
      <c r="N210" s="8"/>
      <c r="O210" s="8"/>
      <c r="P210" s="45"/>
      <c r="Q210" s="45"/>
      <c r="R210" s="49"/>
      <c r="S210" s="49"/>
      <c r="T210" s="49"/>
      <c r="U210" s="4"/>
      <c r="V210" s="4"/>
      <c r="W210" s="4"/>
      <c r="X210" s="4"/>
      <c r="Y210" s="4"/>
      <c r="Z210" s="4"/>
      <c r="AA210" s="21"/>
      <c r="AB210" s="32"/>
      <c r="AC210" s="8"/>
      <c r="AD210" s="8"/>
      <c r="AE210" s="8"/>
      <c r="AF210" s="8"/>
      <c r="AG210" s="33"/>
      <c r="AH210" s="34"/>
      <c r="AI210" s="35"/>
    </row>
    <row r="211" spans="1:35" ht="98">
      <c r="A211" s="8"/>
      <c r="B211" s="160" t="s">
        <v>1254</v>
      </c>
      <c r="C211" s="4"/>
      <c r="D211" s="4"/>
      <c r="E211" s="4"/>
      <c r="F211" s="43"/>
      <c r="G211" s="8"/>
      <c r="H211" s="8"/>
      <c r="I211" s="8"/>
      <c r="J211" s="8"/>
      <c r="K211" s="8"/>
      <c r="L211" s="8"/>
      <c r="M211" s="8"/>
      <c r="N211" s="8"/>
      <c r="O211" s="8"/>
      <c r="P211" s="45"/>
      <c r="Q211" s="45"/>
      <c r="R211" s="49"/>
      <c r="S211" s="49"/>
      <c r="T211" s="49"/>
      <c r="U211" s="4"/>
      <c r="V211" s="4"/>
      <c r="W211" s="4"/>
      <c r="X211" s="4"/>
      <c r="Y211" s="4"/>
      <c r="Z211" s="4"/>
      <c r="AA211" s="21"/>
      <c r="AB211" s="32"/>
      <c r="AC211" s="8"/>
      <c r="AD211" s="8"/>
      <c r="AE211" s="8"/>
      <c r="AF211" s="8"/>
      <c r="AG211" s="33"/>
      <c r="AH211" s="34"/>
      <c r="AI211" s="35"/>
    </row>
    <row r="212" spans="1:35" ht="70">
      <c r="A212" s="8"/>
      <c r="B212" s="159" t="s">
        <v>1255</v>
      </c>
      <c r="C212" s="4"/>
      <c r="D212" s="4"/>
      <c r="E212" s="4"/>
      <c r="F212" s="43"/>
      <c r="G212" s="8"/>
      <c r="H212" s="8"/>
      <c r="I212" s="8"/>
      <c r="J212" s="8"/>
      <c r="K212" s="8"/>
      <c r="L212" s="8"/>
      <c r="M212" s="8"/>
      <c r="N212" s="8"/>
      <c r="O212" s="8"/>
      <c r="P212" s="45"/>
      <c r="Q212" s="45"/>
      <c r="R212" s="49"/>
      <c r="S212" s="49"/>
      <c r="T212" s="49"/>
      <c r="U212" s="4"/>
      <c r="V212" s="4"/>
      <c r="W212" s="4"/>
      <c r="X212" s="4"/>
      <c r="Y212" s="4"/>
      <c r="Z212" s="4"/>
      <c r="AA212" s="21"/>
      <c r="AB212" s="32"/>
      <c r="AC212" s="8"/>
      <c r="AD212" s="8"/>
      <c r="AE212" s="8"/>
      <c r="AF212" s="8"/>
      <c r="AG212" s="33"/>
      <c r="AH212" s="34"/>
      <c r="AI212" s="35"/>
    </row>
    <row r="213" spans="1:35" ht="56">
      <c r="A213" s="8"/>
      <c r="B213" s="159" t="s">
        <v>1257</v>
      </c>
      <c r="C213" s="4"/>
      <c r="D213" s="4"/>
      <c r="E213" s="4"/>
      <c r="F213" s="43"/>
      <c r="G213" s="8"/>
      <c r="H213" s="8"/>
      <c r="I213" s="8"/>
      <c r="J213" s="8"/>
      <c r="K213" s="8"/>
      <c r="L213" s="8"/>
      <c r="M213" s="8"/>
      <c r="N213" s="8"/>
      <c r="O213" s="8"/>
      <c r="P213" s="45"/>
      <c r="Q213" s="45"/>
      <c r="R213" s="49"/>
      <c r="S213" s="49"/>
      <c r="T213" s="49"/>
      <c r="U213" s="4"/>
      <c r="V213" s="4"/>
      <c r="W213" s="4"/>
      <c r="X213" s="4"/>
      <c r="Y213" s="4"/>
      <c r="Z213" s="4"/>
      <c r="AA213" s="21"/>
      <c r="AB213" s="32"/>
      <c r="AC213" s="8"/>
      <c r="AD213" s="8"/>
      <c r="AE213" s="8"/>
      <c r="AF213" s="8"/>
      <c r="AG213" s="33"/>
      <c r="AH213" s="34"/>
      <c r="AI213" s="35"/>
    </row>
    <row r="214" spans="1:35" ht="84">
      <c r="A214" s="8"/>
      <c r="B214" s="159" t="s">
        <v>1258</v>
      </c>
      <c r="C214" s="4"/>
      <c r="D214" s="4"/>
      <c r="E214" s="4"/>
      <c r="F214" s="43"/>
      <c r="G214" s="8"/>
      <c r="H214" s="8"/>
      <c r="I214" s="8"/>
      <c r="J214" s="8"/>
      <c r="K214" s="8"/>
      <c r="L214" s="8"/>
      <c r="M214" s="8"/>
      <c r="N214" s="8"/>
      <c r="O214" s="8"/>
      <c r="P214" s="45"/>
      <c r="Q214" s="45"/>
      <c r="R214" s="49"/>
      <c r="S214" s="49"/>
      <c r="T214" s="49"/>
      <c r="U214" s="4"/>
      <c r="V214" s="4"/>
      <c r="W214" s="4"/>
      <c r="X214" s="4"/>
      <c r="Y214" s="4"/>
      <c r="Z214" s="4"/>
      <c r="AA214" s="21"/>
      <c r="AB214" s="32"/>
      <c r="AC214" s="8"/>
      <c r="AD214" s="8"/>
      <c r="AE214" s="8"/>
      <c r="AF214" s="8"/>
      <c r="AG214" s="33"/>
      <c r="AH214" s="34"/>
      <c r="AI214" s="35"/>
    </row>
    <row r="215" spans="1:35" ht="42">
      <c r="A215" s="8"/>
      <c r="B215" s="159" t="s">
        <v>1259</v>
      </c>
      <c r="C215" s="4"/>
      <c r="D215" s="4"/>
      <c r="E215" s="4"/>
      <c r="F215" s="43"/>
      <c r="G215" s="8"/>
      <c r="H215" s="8"/>
      <c r="I215" s="8"/>
      <c r="J215" s="8"/>
      <c r="K215" s="8"/>
      <c r="L215" s="8"/>
      <c r="M215" s="8"/>
      <c r="N215" s="8"/>
      <c r="O215" s="8"/>
      <c r="P215" s="45"/>
      <c r="Q215" s="45"/>
      <c r="R215" s="49"/>
      <c r="S215" s="49"/>
      <c r="T215" s="49"/>
      <c r="U215" s="4"/>
      <c r="V215" s="4"/>
      <c r="W215" s="4"/>
      <c r="X215" s="4"/>
      <c r="Y215" s="4"/>
      <c r="Z215" s="4"/>
      <c r="AA215" s="21"/>
      <c r="AB215" s="32"/>
      <c r="AC215" s="8"/>
      <c r="AD215" s="8"/>
      <c r="AE215" s="8"/>
      <c r="AF215" s="8"/>
      <c r="AG215" s="33"/>
      <c r="AH215" s="34"/>
      <c r="AI215" s="35"/>
    </row>
    <row r="216" spans="1:35" ht="126">
      <c r="A216" s="8"/>
      <c r="B216" s="159" t="s">
        <v>1261</v>
      </c>
      <c r="C216" s="4"/>
      <c r="D216" s="4"/>
      <c r="E216" s="4"/>
      <c r="F216" s="43"/>
      <c r="G216" s="8"/>
      <c r="H216" s="8"/>
      <c r="I216" s="8"/>
      <c r="J216" s="8"/>
      <c r="K216" s="8"/>
      <c r="L216" s="8"/>
      <c r="M216" s="8"/>
      <c r="N216" s="8"/>
      <c r="O216" s="8"/>
      <c r="P216" s="45"/>
      <c r="Q216" s="45"/>
      <c r="R216" s="49"/>
      <c r="S216" s="49"/>
      <c r="T216" s="49"/>
      <c r="U216" s="4"/>
      <c r="V216" s="4"/>
      <c r="W216" s="4"/>
      <c r="X216" s="4"/>
      <c r="Y216" s="4"/>
      <c r="Z216" s="4"/>
      <c r="AA216" s="21"/>
      <c r="AB216" s="32"/>
      <c r="AC216" s="8"/>
      <c r="AD216" s="8"/>
      <c r="AE216" s="8"/>
      <c r="AF216" s="8"/>
      <c r="AG216" s="33"/>
      <c r="AH216" s="34"/>
      <c r="AI216" s="35"/>
    </row>
    <row r="217" spans="1:35" ht="42">
      <c r="A217" s="8"/>
      <c r="B217" s="27" t="s">
        <v>1262</v>
      </c>
      <c r="C217" s="4"/>
      <c r="D217" s="4"/>
      <c r="E217" s="4"/>
      <c r="F217" s="43"/>
      <c r="G217" s="8"/>
      <c r="H217" s="8"/>
      <c r="I217" s="8"/>
      <c r="J217" s="8"/>
      <c r="K217" s="8"/>
      <c r="L217" s="8"/>
      <c r="M217" s="8"/>
      <c r="N217" s="8"/>
      <c r="O217" s="8"/>
      <c r="P217" s="45"/>
      <c r="Q217" s="45"/>
      <c r="R217" s="49"/>
      <c r="S217" s="49"/>
      <c r="T217" s="49"/>
      <c r="U217" s="4"/>
      <c r="V217" s="4"/>
      <c r="W217" s="4"/>
      <c r="X217" s="4"/>
      <c r="Y217" s="4"/>
      <c r="Z217" s="4"/>
      <c r="AA217" s="21"/>
      <c r="AB217" s="32"/>
      <c r="AC217" s="8"/>
      <c r="AD217" s="8"/>
      <c r="AE217" s="8"/>
      <c r="AF217" s="8"/>
      <c r="AG217" s="33"/>
      <c r="AH217" s="34"/>
      <c r="AI217" s="35"/>
    </row>
    <row r="218" spans="1:35" ht="42">
      <c r="A218" s="8"/>
      <c r="B218" s="27" t="s">
        <v>1263</v>
      </c>
      <c r="C218" s="4"/>
      <c r="D218" s="4"/>
      <c r="E218" s="4"/>
      <c r="F218" s="43"/>
      <c r="G218" s="8"/>
      <c r="H218" s="8"/>
      <c r="I218" s="8"/>
      <c r="J218" s="8"/>
      <c r="K218" s="8"/>
      <c r="L218" s="8"/>
      <c r="M218" s="8"/>
      <c r="N218" s="8"/>
      <c r="O218" s="8"/>
      <c r="P218" s="45"/>
      <c r="Q218" s="45"/>
      <c r="R218" s="49"/>
      <c r="S218" s="49"/>
      <c r="T218" s="49"/>
      <c r="U218" s="4"/>
      <c r="V218" s="4"/>
      <c r="W218" s="4"/>
      <c r="X218" s="4"/>
      <c r="Y218" s="4"/>
      <c r="Z218" s="4"/>
      <c r="AA218" s="21"/>
      <c r="AB218" s="32"/>
      <c r="AC218" s="8"/>
      <c r="AD218" s="8"/>
      <c r="AE218" s="8"/>
      <c r="AF218" s="8"/>
      <c r="AG218" s="33"/>
      <c r="AH218" s="34"/>
      <c r="AI218" s="35"/>
    </row>
    <row r="219" spans="1:35" ht="42">
      <c r="A219" s="8"/>
      <c r="B219" s="27" t="s">
        <v>1267</v>
      </c>
      <c r="C219" s="4"/>
      <c r="D219" s="4"/>
      <c r="E219" s="4"/>
      <c r="F219" s="43"/>
      <c r="G219" s="8"/>
      <c r="H219" s="8"/>
      <c r="I219" s="8"/>
      <c r="J219" s="8"/>
      <c r="K219" s="8"/>
      <c r="L219" s="8"/>
      <c r="M219" s="8"/>
      <c r="N219" s="8"/>
      <c r="O219" s="8"/>
      <c r="P219" s="45"/>
      <c r="Q219" s="45"/>
      <c r="R219" s="49"/>
      <c r="S219" s="49"/>
      <c r="T219" s="49"/>
      <c r="U219" s="4"/>
      <c r="V219" s="4"/>
      <c r="W219" s="4"/>
      <c r="X219" s="4"/>
      <c r="Y219" s="4"/>
      <c r="Z219" s="4"/>
      <c r="AA219" s="21"/>
      <c r="AB219" s="32"/>
      <c r="AC219" s="8"/>
      <c r="AD219" s="8"/>
      <c r="AE219" s="8"/>
      <c r="AF219" s="8"/>
      <c r="AG219" s="33"/>
      <c r="AH219" s="34"/>
      <c r="AI219" s="35"/>
    </row>
    <row r="220" spans="1:35" ht="42">
      <c r="A220" s="36" t="s">
        <v>222</v>
      </c>
      <c r="B220" s="51" t="s">
        <v>1268</v>
      </c>
      <c r="C220" s="38"/>
      <c r="D220" s="38"/>
      <c r="E220" s="38"/>
      <c r="F220" s="39"/>
      <c r="G220" s="38"/>
      <c r="H220" s="38"/>
      <c r="I220" s="38"/>
      <c r="J220" s="38"/>
      <c r="K220" s="38"/>
      <c r="L220" s="36">
        <v>1</v>
      </c>
      <c r="M220" s="38"/>
      <c r="N220" s="38"/>
      <c r="O220" s="38"/>
      <c r="P220" s="41"/>
      <c r="Q220" s="41"/>
      <c r="R220" s="42"/>
      <c r="S220" s="8"/>
      <c r="T220" s="42"/>
      <c r="U220" s="38"/>
      <c r="V220" s="8"/>
      <c r="W220" s="8"/>
      <c r="X220" s="8"/>
      <c r="Y220" s="8"/>
      <c r="Z220" s="8"/>
      <c r="AA220" s="31"/>
      <c r="AB220" s="32"/>
      <c r="AC220" s="8"/>
      <c r="AD220" s="8"/>
      <c r="AE220" s="8"/>
      <c r="AF220" s="8"/>
      <c r="AG220" s="33"/>
      <c r="AH220" s="34"/>
      <c r="AI220" s="35"/>
    </row>
    <row r="221" spans="1:35" ht="13">
      <c r="A221" s="8"/>
      <c r="B221" s="8"/>
      <c r="C221" s="8"/>
      <c r="D221" s="8"/>
      <c r="E221" s="8"/>
      <c r="F221" s="87"/>
      <c r="G221" s="8"/>
      <c r="H221" s="8"/>
      <c r="I221" s="8"/>
      <c r="J221" s="8"/>
      <c r="K221" s="8"/>
      <c r="L221" s="8"/>
      <c r="M221" s="8"/>
      <c r="N221" s="8"/>
      <c r="O221" s="8"/>
      <c r="P221" s="88"/>
      <c r="Q221" s="88"/>
      <c r="R221" s="49"/>
      <c r="S221" s="49"/>
      <c r="T221" s="49"/>
      <c r="U221" s="8"/>
      <c r="V221" s="8"/>
      <c r="W221" s="8"/>
      <c r="X221" s="8"/>
      <c r="Y221" s="8"/>
      <c r="Z221" s="8"/>
      <c r="AA221" s="31"/>
      <c r="AB221" s="32"/>
      <c r="AC221" s="8"/>
      <c r="AD221" s="8"/>
      <c r="AE221" s="8"/>
      <c r="AF221" s="8"/>
      <c r="AG221" s="33"/>
      <c r="AH221" s="34"/>
      <c r="AI221" s="35"/>
    </row>
    <row r="222" spans="1:35" ht="13">
      <c r="A222" s="8"/>
      <c r="B222" s="8"/>
      <c r="C222" s="8"/>
      <c r="D222" s="8"/>
      <c r="E222" s="8"/>
      <c r="F222" s="87"/>
      <c r="G222" s="8"/>
      <c r="H222" s="8"/>
      <c r="I222" s="8"/>
      <c r="J222" s="8"/>
      <c r="K222" s="8"/>
      <c r="L222" s="8"/>
      <c r="M222" s="8"/>
      <c r="N222" s="8"/>
      <c r="O222" s="8"/>
      <c r="P222" s="88"/>
      <c r="Q222" s="88"/>
      <c r="R222" s="49"/>
      <c r="S222" s="49"/>
      <c r="T222" s="49"/>
      <c r="U222" s="8"/>
      <c r="V222" s="8"/>
      <c r="W222" s="8"/>
      <c r="X222" s="8"/>
      <c r="Y222" s="8"/>
      <c r="Z222" s="8"/>
      <c r="AA222" s="31"/>
      <c r="AB222" s="32"/>
      <c r="AC222" s="8"/>
      <c r="AD222" s="8"/>
      <c r="AE222" s="8"/>
      <c r="AF222" s="8"/>
      <c r="AG222" s="33"/>
      <c r="AH222" s="34"/>
      <c r="AI222" s="35"/>
    </row>
    <row r="223" spans="1:35" ht="13">
      <c r="A223" s="8"/>
      <c r="B223" s="8"/>
      <c r="C223" s="8"/>
      <c r="D223" s="8"/>
      <c r="E223" s="8"/>
      <c r="F223" s="87"/>
      <c r="G223" s="8"/>
      <c r="H223" s="8"/>
      <c r="I223" s="8"/>
      <c r="J223" s="8"/>
      <c r="K223" s="8"/>
      <c r="L223" s="8"/>
      <c r="M223" s="8"/>
      <c r="N223" s="8"/>
      <c r="O223" s="8"/>
      <c r="P223" s="88"/>
      <c r="Q223" s="88"/>
      <c r="R223" s="49"/>
      <c r="S223" s="49"/>
      <c r="T223" s="49"/>
      <c r="U223" s="8"/>
      <c r="V223" s="8"/>
      <c r="W223" s="8"/>
      <c r="X223" s="8"/>
      <c r="Y223" s="8"/>
      <c r="Z223" s="8"/>
      <c r="AA223" s="31"/>
      <c r="AB223" s="32"/>
      <c r="AC223" s="8"/>
      <c r="AD223" s="8"/>
      <c r="AE223" s="8"/>
      <c r="AF223" s="8"/>
      <c r="AG223" s="33"/>
      <c r="AH223" s="34"/>
      <c r="AI223" s="35"/>
    </row>
    <row r="224" spans="1:35" ht="13">
      <c r="A224" s="8"/>
      <c r="B224" s="8"/>
      <c r="C224" s="8"/>
      <c r="D224" s="8"/>
      <c r="E224" s="8"/>
      <c r="F224" s="87"/>
      <c r="G224" s="8"/>
      <c r="H224" s="8"/>
      <c r="I224" s="8"/>
      <c r="J224" s="8"/>
      <c r="K224" s="8"/>
      <c r="L224" s="8"/>
      <c r="M224" s="8"/>
      <c r="N224" s="8"/>
      <c r="O224" s="8"/>
      <c r="P224" s="88"/>
      <c r="Q224" s="88"/>
      <c r="R224" s="49"/>
      <c r="S224" s="49"/>
      <c r="T224" s="49"/>
      <c r="U224" s="8"/>
      <c r="V224" s="8"/>
      <c r="W224" s="8"/>
      <c r="X224" s="8"/>
      <c r="Y224" s="8"/>
      <c r="Z224" s="8"/>
      <c r="AA224" s="31"/>
      <c r="AB224" s="32"/>
      <c r="AC224" s="8"/>
      <c r="AD224" s="8"/>
      <c r="AE224" s="8"/>
      <c r="AF224" s="8"/>
      <c r="AG224" s="33"/>
      <c r="AH224" s="34"/>
      <c r="AI224" s="35"/>
    </row>
    <row r="225" spans="1:35" ht="37.5" customHeight="1">
      <c r="A225" s="36">
        <v>108</v>
      </c>
      <c r="B225" s="51" t="s">
        <v>1271</v>
      </c>
      <c r="C225" s="38"/>
      <c r="D225" s="38"/>
      <c r="E225" s="38"/>
      <c r="F225" s="39"/>
      <c r="G225" s="38"/>
      <c r="H225" s="38"/>
      <c r="I225" s="38"/>
      <c r="J225" s="38"/>
      <c r="K225" s="38"/>
      <c r="L225" s="36">
        <v>1</v>
      </c>
      <c r="M225" s="38"/>
      <c r="N225" s="38"/>
      <c r="O225" s="38"/>
      <c r="P225" s="41"/>
      <c r="Q225" s="41"/>
      <c r="R225" s="42"/>
      <c r="S225" s="8"/>
      <c r="T225" s="42"/>
      <c r="U225" s="38"/>
      <c r="V225" s="8"/>
      <c r="W225" s="8"/>
      <c r="X225" s="8"/>
      <c r="Y225" s="8"/>
      <c r="Z225" s="8"/>
      <c r="AA225" s="31"/>
      <c r="AB225" s="32"/>
      <c r="AC225" s="8"/>
      <c r="AD225" s="8"/>
      <c r="AE225" s="8"/>
      <c r="AF225" s="8"/>
      <c r="AG225" s="33"/>
      <c r="AH225" s="34"/>
      <c r="AI225" s="35"/>
    </row>
    <row r="226" spans="1:35" ht="75" customHeight="1">
      <c r="A226" s="8"/>
      <c r="B226" s="4" t="s">
        <v>1274</v>
      </c>
      <c r="C226" s="4" t="s">
        <v>1275</v>
      </c>
      <c r="D226" s="4" t="s">
        <v>711</v>
      </c>
      <c r="E226" s="4" t="s">
        <v>780</v>
      </c>
      <c r="F226" s="43" t="s">
        <v>290</v>
      </c>
      <c r="G226" s="4"/>
      <c r="H226" s="4"/>
      <c r="I226" s="8"/>
      <c r="J226" s="4" t="s">
        <v>23</v>
      </c>
      <c r="K226" s="4" t="s">
        <v>1276</v>
      </c>
      <c r="L226" s="4">
        <v>1</v>
      </c>
      <c r="M226" s="4">
        <v>0</v>
      </c>
      <c r="N226" s="4">
        <v>0</v>
      </c>
      <c r="O226" s="8"/>
      <c r="P226" s="45">
        <v>43466</v>
      </c>
      <c r="Q226" s="45">
        <v>43830</v>
      </c>
      <c r="R226" s="49"/>
      <c r="S226" s="49"/>
      <c r="T226" s="49"/>
      <c r="U226" s="4" t="s">
        <v>90</v>
      </c>
      <c r="V226" s="4">
        <v>25</v>
      </c>
      <c r="W226" s="4">
        <v>0</v>
      </c>
      <c r="X226" s="4">
        <v>0</v>
      </c>
      <c r="Y226" s="4">
        <v>0</v>
      </c>
      <c r="Z226" s="4">
        <v>0</v>
      </c>
      <c r="AA226" s="21">
        <v>0</v>
      </c>
      <c r="AB226" s="22">
        <v>25</v>
      </c>
      <c r="AC226" s="4">
        <v>0</v>
      </c>
      <c r="AD226" s="4">
        <v>0</v>
      </c>
      <c r="AE226" s="4">
        <v>0</v>
      </c>
      <c r="AF226" s="8"/>
      <c r="AG226" s="33"/>
      <c r="AH226" s="34"/>
      <c r="AI226" s="35"/>
    </row>
    <row r="227" spans="1:35" ht="88.5" customHeight="1">
      <c r="A227" s="8"/>
      <c r="B227" s="4" t="s">
        <v>1277</v>
      </c>
      <c r="C227" s="4" t="s">
        <v>1278</v>
      </c>
      <c r="D227" s="4" t="s">
        <v>711</v>
      </c>
      <c r="E227" s="4" t="s">
        <v>780</v>
      </c>
      <c r="F227" s="43" t="s">
        <v>309</v>
      </c>
      <c r="G227" s="4">
        <v>2</v>
      </c>
      <c r="H227" s="4">
        <v>1</v>
      </c>
      <c r="I227" s="4" t="s">
        <v>1279</v>
      </c>
      <c r="J227" s="4" t="s">
        <v>23</v>
      </c>
      <c r="K227" s="4" t="s">
        <v>1280</v>
      </c>
      <c r="L227" s="4">
        <v>1</v>
      </c>
      <c r="M227" s="4">
        <v>1</v>
      </c>
      <c r="N227" s="4">
        <v>0</v>
      </c>
      <c r="O227" s="8"/>
      <c r="P227" s="45">
        <v>43466</v>
      </c>
      <c r="Q227" s="45">
        <v>45657</v>
      </c>
      <c r="R227" s="49"/>
      <c r="S227" s="49"/>
      <c r="T227" s="49"/>
      <c r="U227" s="4" t="s">
        <v>96</v>
      </c>
      <c r="V227" s="4">
        <v>670</v>
      </c>
      <c r="W227" s="4">
        <v>670</v>
      </c>
      <c r="X227" s="4">
        <v>980</v>
      </c>
      <c r="Y227" s="4">
        <v>1960</v>
      </c>
      <c r="Z227" s="4">
        <v>1950</v>
      </c>
      <c r="AA227" s="21">
        <v>1930</v>
      </c>
      <c r="AB227" s="22">
        <v>670</v>
      </c>
      <c r="AC227" s="4">
        <v>670</v>
      </c>
      <c r="AD227" s="4">
        <v>980</v>
      </c>
      <c r="AE227" s="4">
        <v>1960</v>
      </c>
      <c r="AF227" s="8"/>
      <c r="AG227" s="33"/>
      <c r="AH227" s="34"/>
      <c r="AI227" s="35"/>
    </row>
    <row r="228" spans="1:35" ht="97.5" customHeight="1">
      <c r="A228" s="8"/>
      <c r="B228" s="4" t="s">
        <v>1283</v>
      </c>
      <c r="C228" s="4" t="s">
        <v>1284</v>
      </c>
      <c r="D228" s="4" t="s">
        <v>711</v>
      </c>
      <c r="E228" s="4" t="s">
        <v>780</v>
      </c>
      <c r="F228" s="43" t="s">
        <v>317</v>
      </c>
      <c r="G228" s="4"/>
      <c r="H228" s="4"/>
      <c r="I228" s="8"/>
      <c r="J228" s="4" t="s">
        <v>23</v>
      </c>
      <c r="K228" s="4" t="s">
        <v>1285</v>
      </c>
      <c r="L228" s="4">
        <v>1</v>
      </c>
      <c r="M228" s="4">
        <v>0</v>
      </c>
      <c r="N228" s="4">
        <v>0</v>
      </c>
      <c r="O228" s="8"/>
      <c r="P228" s="45">
        <v>43466</v>
      </c>
      <c r="Q228" s="45">
        <v>45657</v>
      </c>
      <c r="R228" s="49"/>
      <c r="S228" s="49"/>
      <c r="T228" s="49"/>
      <c r="U228" s="4" t="s">
        <v>90</v>
      </c>
      <c r="V228" s="4">
        <v>5</v>
      </c>
      <c r="W228" s="4">
        <v>30</v>
      </c>
      <c r="X228" s="4">
        <v>20</v>
      </c>
      <c r="Y228" s="4">
        <v>40</v>
      </c>
      <c r="Z228" s="4">
        <v>50</v>
      </c>
      <c r="AA228" s="21">
        <v>70</v>
      </c>
      <c r="AB228" s="22">
        <v>5</v>
      </c>
      <c r="AC228" s="4">
        <v>30</v>
      </c>
      <c r="AD228" s="4">
        <v>20</v>
      </c>
      <c r="AE228" s="4">
        <v>40</v>
      </c>
      <c r="AF228" s="8"/>
      <c r="AG228" s="33"/>
      <c r="AH228" s="34"/>
      <c r="AI228" s="35"/>
    </row>
    <row r="229" spans="1:35" ht="28">
      <c r="A229" s="36">
        <v>108</v>
      </c>
      <c r="B229" s="51" t="s">
        <v>1286</v>
      </c>
      <c r="C229" s="38"/>
      <c r="D229" s="38"/>
      <c r="E229" s="38"/>
      <c r="F229" s="39"/>
      <c r="G229" s="38"/>
      <c r="H229" s="38"/>
      <c r="I229" s="38"/>
      <c r="J229" s="38"/>
      <c r="K229" s="38"/>
      <c r="L229" s="36">
        <v>1</v>
      </c>
      <c r="M229" s="38"/>
      <c r="N229" s="38"/>
      <c r="O229" s="38"/>
      <c r="P229" s="41"/>
      <c r="Q229" s="41"/>
      <c r="R229" s="42"/>
      <c r="S229" s="8"/>
      <c r="T229" s="42"/>
      <c r="U229" s="38"/>
      <c r="V229" s="8"/>
      <c r="W229" s="8"/>
      <c r="X229" s="8"/>
      <c r="Y229" s="8"/>
      <c r="Z229" s="8"/>
      <c r="AA229" s="31"/>
      <c r="AB229" s="32"/>
      <c r="AC229" s="8"/>
      <c r="AD229" s="8"/>
      <c r="AE229" s="8"/>
      <c r="AF229" s="8"/>
      <c r="AG229" s="33"/>
      <c r="AH229" s="34"/>
      <c r="AI229" s="35"/>
    </row>
    <row r="230" spans="1:35" ht="72" customHeight="1">
      <c r="A230" s="8"/>
      <c r="B230" s="8"/>
      <c r="C230" s="8"/>
      <c r="D230" s="8"/>
      <c r="E230" s="8"/>
      <c r="F230" s="87"/>
      <c r="G230" s="8"/>
      <c r="H230" s="8"/>
      <c r="I230" s="8"/>
      <c r="J230" s="8"/>
      <c r="K230" s="4" t="s">
        <v>1287</v>
      </c>
      <c r="L230" s="8"/>
      <c r="M230" s="8"/>
      <c r="N230" s="8"/>
      <c r="O230" s="8"/>
      <c r="P230" s="88"/>
      <c r="Q230" s="88"/>
      <c r="R230" s="49"/>
      <c r="S230" s="49"/>
      <c r="T230" s="49"/>
      <c r="U230" s="8"/>
      <c r="V230" s="8"/>
      <c r="W230" s="8"/>
      <c r="X230" s="8"/>
      <c r="Y230" s="8"/>
      <c r="Z230" s="8"/>
      <c r="AA230" s="31"/>
      <c r="AB230" s="32"/>
      <c r="AC230" s="8"/>
      <c r="AD230" s="8"/>
      <c r="AE230" s="8"/>
      <c r="AF230" s="8"/>
      <c r="AG230" s="33"/>
      <c r="AH230" s="34"/>
      <c r="AI230" s="35"/>
    </row>
    <row r="231" spans="1:35" ht="14">
      <c r="A231" s="36"/>
      <c r="B231" s="51" t="s">
        <v>1290</v>
      </c>
      <c r="C231" s="38"/>
      <c r="D231" s="38"/>
      <c r="E231" s="38"/>
      <c r="F231" s="39"/>
      <c r="G231" s="38"/>
      <c r="H231" s="38"/>
      <c r="I231" s="38"/>
      <c r="J231" s="38"/>
      <c r="K231" s="38"/>
      <c r="L231" s="36"/>
      <c r="M231" s="38"/>
      <c r="N231" s="38"/>
      <c r="O231" s="38"/>
      <c r="P231" s="41"/>
      <c r="Q231" s="41"/>
      <c r="R231" s="42"/>
      <c r="S231" s="8"/>
      <c r="T231" s="42"/>
      <c r="U231" s="38"/>
      <c r="V231" s="38"/>
      <c r="W231" s="38"/>
      <c r="X231" s="38"/>
      <c r="Y231" s="38"/>
      <c r="Z231" s="38"/>
      <c r="AA231" s="52"/>
      <c r="AB231" s="53"/>
      <c r="AC231" s="38"/>
      <c r="AD231" s="38"/>
      <c r="AE231" s="38"/>
      <c r="AF231" s="38"/>
      <c r="AG231" s="54"/>
      <c r="AH231" s="34"/>
      <c r="AI231" s="35"/>
    </row>
    <row r="232" spans="1:35" ht="76.5" customHeight="1">
      <c r="A232" s="4">
        <v>1</v>
      </c>
      <c r="B232" s="4" t="s">
        <v>1291</v>
      </c>
      <c r="C232" s="4" t="s">
        <v>1292</v>
      </c>
      <c r="D232" s="4" t="s">
        <v>1293</v>
      </c>
      <c r="E232" s="4" t="s">
        <v>784</v>
      </c>
      <c r="F232" s="43" t="s">
        <v>290</v>
      </c>
      <c r="G232" s="4">
        <v>2</v>
      </c>
      <c r="H232" s="4">
        <v>2</v>
      </c>
      <c r="I232" s="4" t="s">
        <v>1294</v>
      </c>
      <c r="J232" s="4" t="s">
        <v>71</v>
      </c>
      <c r="K232" s="4"/>
      <c r="L232" s="4">
        <v>1</v>
      </c>
      <c r="M232" s="4">
        <v>0</v>
      </c>
      <c r="N232" s="4">
        <v>0</v>
      </c>
      <c r="O232" s="4" t="s">
        <v>1295</v>
      </c>
      <c r="P232" s="45">
        <v>43405</v>
      </c>
      <c r="Q232" s="45">
        <v>44561</v>
      </c>
      <c r="R232" s="49"/>
      <c r="S232" s="49"/>
      <c r="T232" s="49"/>
      <c r="U232" s="4" t="s">
        <v>90</v>
      </c>
      <c r="V232" s="4">
        <v>10</v>
      </c>
      <c r="W232" s="8"/>
      <c r="X232" s="8"/>
      <c r="Y232" s="8"/>
      <c r="Z232" s="8"/>
      <c r="AA232" s="31"/>
      <c r="AB232" s="32"/>
      <c r="AC232" s="8"/>
      <c r="AD232" s="8"/>
      <c r="AE232" s="8"/>
      <c r="AF232" s="8"/>
      <c r="AG232" s="33"/>
      <c r="AH232" s="34"/>
      <c r="AI232" s="35"/>
    </row>
    <row r="233" spans="1:35" ht="113.25" customHeight="1">
      <c r="A233" s="4">
        <v>2</v>
      </c>
      <c r="B233" s="4" t="s">
        <v>1296</v>
      </c>
      <c r="C233" s="4" t="s">
        <v>1298</v>
      </c>
      <c r="D233" s="4" t="s">
        <v>711</v>
      </c>
      <c r="E233" s="4" t="s">
        <v>784</v>
      </c>
      <c r="F233" s="43" t="s">
        <v>309</v>
      </c>
      <c r="G233" s="4">
        <v>2</v>
      </c>
      <c r="H233" s="4">
        <v>2</v>
      </c>
      <c r="I233" s="4" t="s">
        <v>1294</v>
      </c>
      <c r="J233" s="4" t="s">
        <v>5</v>
      </c>
      <c r="K233" s="4" t="s">
        <v>1300</v>
      </c>
      <c r="L233" s="4">
        <v>1</v>
      </c>
      <c r="M233" s="4">
        <v>1</v>
      </c>
      <c r="N233" s="4">
        <v>0</v>
      </c>
      <c r="O233" s="4" t="s">
        <v>1301</v>
      </c>
      <c r="P233" s="45">
        <v>43405</v>
      </c>
      <c r="Q233" s="45">
        <v>45657</v>
      </c>
      <c r="R233" s="49"/>
      <c r="S233" s="49"/>
      <c r="T233" s="49"/>
      <c r="U233" s="4" t="s">
        <v>90</v>
      </c>
      <c r="V233" s="4">
        <v>160</v>
      </c>
      <c r="W233" s="4">
        <v>40</v>
      </c>
      <c r="X233" s="4">
        <v>90</v>
      </c>
      <c r="Y233" s="4">
        <v>100</v>
      </c>
      <c r="Z233" s="4">
        <v>100</v>
      </c>
      <c r="AA233" s="21">
        <v>150</v>
      </c>
      <c r="AB233" s="32"/>
      <c r="AC233" s="8"/>
      <c r="AD233" s="8"/>
      <c r="AE233" s="8"/>
      <c r="AF233" s="8"/>
      <c r="AG233" s="33"/>
      <c r="AH233" s="34"/>
      <c r="AI233" s="35"/>
    </row>
    <row r="234" spans="1:35" ht="89.25" customHeight="1">
      <c r="A234" s="4">
        <v>3</v>
      </c>
      <c r="B234" s="4" t="s">
        <v>1302</v>
      </c>
      <c r="C234" s="4" t="s">
        <v>1303</v>
      </c>
      <c r="D234" s="4" t="s">
        <v>711</v>
      </c>
      <c r="E234" s="4" t="s">
        <v>784</v>
      </c>
      <c r="F234" s="43" t="s">
        <v>317</v>
      </c>
      <c r="G234" s="4">
        <v>2</v>
      </c>
      <c r="H234" s="4" t="s">
        <v>1304</v>
      </c>
      <c r="I234" s="4" t="s">
        <v>1305</v>
      </c>
      <c r="J234" s="4" t="s">
        <v>5</v>
      </c>
      <c r="K234" s="4" t="s">
        <v>1300</v>
      </c>
      <c r="L234" s="4">
        <v>1</v>
      </c>
      <c r="M234" s="4">
        <v>1</v>
      </c>
      <c r="N234" s="4">
        <v>0</v>
      </c>
      <c r="O234" s="4" t="s">
        <v>1301</v>
      </c>
      <c r="P234" s="45">
        <v>43405</v>
      </c>
      <c r="Q234" s="45">
        <v>45657</v>
      </c>
      <c r="R234" s="49"/>
      <c r="S234" s="49"/>
      <c r="T234" s="49"/>
      <c r="U234" s="4" t="s">
        <v>96</v>
      </c>
      <c r="V234" s="8"/>
      <c r="W234" s="4">
        <v>720</v>
      </c>
      <c r="X234" s="4">
        <v>770</v>
      </c>
      <c r="Y234" s="4">
        <v>990</v>
      </c>
      <c r="Z234" s="8"/>
      <c r="AA234" s="31"/>
      <c r="AB234" s="32"/>
      <c r="AC234" s="8"/>
      <c r="AD234" s="8"/>
      <c r="AE234" s="8"/>
      <c r="AF234" s="8"/>
      <c r="AG234" s="33"/>
      <c r="AH234" s="34"/>
      <c r="AI234" s="35"/>
    </row>
    <row r="235" spans="1:35" ht="90.75" customHeight="1">
      <c r="A235" s="4">
        <v>4</v>
      </c>
      <c r="B235" s="4" t="s">
        <v>1306</v>
      </c>
      <c r="C235" s="4" t="s">
        <v>1307</v>
      </c>
      <c r="D235" s="4" t="s">
        <v>711</v>
      </c>
      <c r="E235" s="4" t="s">
        <v>784</v>
      </c>
      <c r="F235" s="43" t="s">
        <v>322</v>
      </c>
      <c r="G235" s="8"/>
      <c r="H235" s="8"/>
      <c r="I235" s="8"/>
      <c r="J235" s="4" t="s">
        <v>5</v>
      </c>
      <c r="K235" s="4" t="s">
        <v>1300</v>
      </c>
      <c r="L235" s="4">
        <v>1</v>
      </c>
      <c r="M235" s="4">
        <v>1</v>
      </c>
      <c r="N235" s="4">
        <v>0</v>
      </c>
      <c r="O235" s="4" t="s">
        <v>1301</v>
      </c>
      <c r="P235" s="45">
        <v>43405</v>
      </c>
      <c r="Q235" s="45">
        <v>44196</v>
      </c>
      <c r="R235" s="49"/>
      <c r="S235" s="49"/>
      <c r="T235" s="49"/>
      <c r="U235" s="4" t="s">
        <v>90</v>
      </c>
      <c r="V235" s="8"/>
      <c r="W235" s="8"/>
      <c r="X235" s="8"/>
      <c r="Y235" s="8"/>
      <c r="Z235" s="8"/>
      <c r="AA235" s="31"/>
      <c r="AB235" s="32"/>
      <c r="AC235" s="8"/>
      <c r="AD235" s="8"/>
      <c r="AE235" s="8"/>
      <c r="AF235" s="8"/>
      <c r="AG235" s="33"/>
      <c r="AH235" s="34"/>
      <c r="AI235" s="35"/>
    </row>
    <row r="236" spans="1:35" ht="77.25" customHeight="1">
      <c r="A236" s="4">
        <v>5</v>
      </c>
      <c r="B236" s="4" t="s">
        <v>1310</v>
      </c>
      <c r="C236" s="4" t="s">
        <v>1311</v>
      </c>
      <c r="D236" s="4" t="s">
        <v>711</v>
      </c>
      <c r="E236" s="4" t="s">
        <v>784</v>
      </c>
      <c r="F236" s="43" t="s">
        <v>329</v>
      </c>
      <c r="G236" s="8"/>
      <c r="H236" s="8"/>
      <c r="I236" s="8"/>
      <c r="J236" s="4" t="s">
        <v>5</v>
      </c>
      <c r="K236" s="4" t="s">
        <v>1300</v>
      </c>
      <c r="L236" s="4">
        <v>1</v>
      </c>
      <c r="M236" s="4">
        <v>1</v>
      </c>
      <c r="N236" s="4">
        <v>0</v>
      </c>
      <c r="O236" s="4" t="s">
        <v>1301</v>
      </c>
      <c r="P236" s="45">
        <v>43405</v>
      </c>
      <c r="Q236" s="45">
        <v>45657</v>
      </c>
      <c r="R236" s="49"/>
      <c r="S236" s="49"/>
      <c r="T236" s="49"/>
      <c r="U236" s="4" t="s">
        <v>96</v>
      </c>
      <c r="V236" s="8"/>
      <c r="W236" s="8"/>
      <c r="X236" s="8"/>
      <c r="Y236" s="8"/>
      <c r="Z236" s="8"/>
      <c r="AA236" s="31"/>
      <c r="AB236" s="32"/>
      <c r="AC236" s="8"/>
      <c r="AD236" s="8"/>
      <c r="AE236" s="8"/>
      <c r="AF236" s="8"/>
      <c r="AG236" s="33"/>
      <c r="AH236" s="34"/>
      <c r="AI236" s="35"/>
    </row>
    <row r="237" spans="1:35" ht="91.5" customHeight="1">
      <c r="A237" s="4">
        <v>6</v>
      </c>
      <c r="B237" s="4" t="s">
        <v>1314</v>
      </c>
      <c r="C237" s="4" t="s">
        <v>1315</v>
      </c>
      <c r="D237" s="4" t="s">
        <v>711</v>
      </c>
      <c r="E237" s="4" t="s">
        <v>784</v>
      </c>
      <c r="F237" s="43" t="s">
        <v>335</v>
      </c>
      <c r="G237" s="4">
        <v>2</v>
      </c>
      <c r="H237" s="4">
        <v>2</v>
      </c>
      <c r="I237" s="4" t="s">
        <v>1294</v>
      </c>
      <c r="J237" s="4" t="s">
        <v>5</v>
      </c>
      <c r="K237" s="4" t="s">
        <v>1300</v>
      </c>
      <c r="L237" s="4">
        <v>1</v>
      </c>
      <c r="M237" s="4">
        <v>1</v>
      </c>
      <c r="N237" s="4">
        <v>0</v>
      </c>
      <c r="O237" s="4" t="s">
        <v>1301</v>
      </c>
      <c r="P237" s="45">
        <v>43405</v>
      </c>
      <c r="Q237" s="45">
        <v>45657</v>
      </c>
      <c r="R237" s="49"/>
      <c r="S237" s="49"/>
      <c r="T237" s="49"/>
      <c r="U237" s="4" t="s">
        <v>90</v>
      </c>
      <c r="V237" s="4">
        <v>1530</v>
      </c>
      <c r="W237" s="4">
        <v>940</v>
      </c>
      <c r="X237" s="4">
        <v>1790</v>
      </c>
      <c r="Y237" s="4">
        <v>1610</v>
      </c>
      <c r="Z237" s="4">
        <v>2600</v>
      </c>
      <c r="AA237" s="21">
        <v>3400</v>
      </c>
      <c r="AB237" s="32"/>
      <c r="AC237" s="8"/>
      <c r="AD237" s="8"/>
      <c r="AE237" s="8"/>
      <c r="AF237" s="8"/>
      <c r="AG237" s="33"/>
      <c r="AH237" s="34"/>
      <c r="AI237" s="35"/>
    </row>
    <row r="238" spans="1:35" ht="54" customHeight="1">
      <c r="A238" s="4">
        <v>7</v>
      </c>
      <c r="B238" s="4" t="s">
        <v>1316</v>
      </c>
      <c r="C238" s="4" t="s">
        <v>1317</v>
      </c>
      <c r="D238" s="4" t="s">
        <v>711</v>
      </c>
      <c r="E238" s="4" t="s">
        <v>784</v>
      </c>
      <c r="F238" s="43" t="s">
        <v>341</v>
      </c>
      <c r="G238" s="8"/>
      <c r="H238" s="8"/>
      <c r="I238" s="8"/>
      <c r="J238" s="4" t="s">
        <v>5</v>
      </c>
      <c r="K238" s="4" t="s">
        <v>1318</v>
      </c>
      <c r="L238" s="4">
        <v>1</v>
      </c>
      <c r="M238" s="4">
        <v>1</v>
      </c>
      <c r="N238" s="4">
        <v>0</v>
      </c>
      <c r="O238" s="4" t="s">
        <v>1301</v>
      </c>
      <c r="P238" s="45">
        <v>43405</v>
      </c>
      <c r="Q238" s="73" t="s">
        <v>1319</v>
      </c>
      <c r="R238" s="49"/>
      <c r="S238" s="49"/>
      <c r="T238" s="49"/>
      <c r="U238" s="4" t="s">
        <v>96</v>
      </c>
      <c r="V238" s="8"/>
      <c r="W238" s="8"/>
      <c r="X238" s="8"/>
      <c r="Y238" s="8"/>
      <c r="Z238" s="8"/>
      <c r="AA238" s="31"/>
      <c r="AB238" s="32"/>
      <c r="AC238" s="8"/>
      <c r="AD238" s="8"/>
      <c r="AE238" s="8"/>
      <c r="AF238" s="8"/>
      <c r="AG238" s="33"/>
      <c r="AH238" s="34"/>
      <c r="AI238" s="35"/>
    </row>
    <row r="239" spans="1:35" ht="95.25" customHeight="1">
      <c r="A239" s="4">
        <v>8</v>
      </c>
      <c r="B239" s="4" t="s">
        <v>1320</v>
      </c>
      <c r="C239" s="4"/>
      <c r="D239" s="4" t="s">
        <v>711</v>
      </c>
      <c r="E239" s="4" t="s">
        <v>784</v>
      </c>
      <c r="F239" s="43" t="s">
        <v>347</v>
      </c>
      <c r="G239" s="4">
        <v>2</v>
      </c>
      <c r="H239" s="4">
        <v>2</v>
      </c>
      <c r="I239" s="4" t="s">
        <v>1294</v>
      </c>
      <c r="J239" s="4" t="s">
        <v>5</v>
      </c>
      <c r="K239" s="4" t="s">
        <v>1300</v>
      </c>
      <c r="L239" s="4">
        <v>1</v>
      </c>
      <c r="M239" s="4">
        <v>1</v>
      </c>
      <c r="N239" s="4">
        <v>0</v>
      </c>
      <c r="O239" s="4" t="s">
        <v>1301</v>
      </c>
      <c r="P239" s="45">
        <v>43405</v>
      </c>
      <c r="Q239" s="45">
        <v>45656</v>
      </c>
      <c r="R239" s="49"/>
      <c r="S239" s="49"/>
      <c r="T239" s="49"/>
      <c r="U239" s="4" t="s">
        <v>90</v>
      </c>
      <c r="V239" s="4">
        <v>32</v>
      </c>
      <c r="W239" s="4">
        <v>32</v>
      </c>
      <c r="X239" s="4">
        <v>32</v>
      </c>
      <c r="Y239" s="4">
        <v>32</v>
      </c>
      <c r="Z239" s="4">
        <v>32</v>
      </c>
      <c r="AA239" s="21">
        <v>32</v>
      </c>
      <c r="AB239" s="32"/>
      <c r="AC239" s="8"/>
      <c r="AD239" s="8"/>
      <c r="AE239" s="8"/>
      <c r="AF239" s="8"/>
      <c r="AG239" s="33"/>
      <c r="AH239" s="34"/>
      <c r="AI239" s="35"/>
    </row>
    <row r="240" spans="1:35" ht="73.5" customHeight="1">
      <c r="A240" s="4">
        <v>9</v>
      </c>
      <c r="B240" s="4" t="s">
        <v>1322</v>
      </c>
      <c r="C240" s="4" t="s">
        <v>1323</v>
      </c>
      <c r="D240" s="4" t="s">
        <v>711</v>
      </c>
      <c r="E240" s="4" t="s">
        <v>784</v>
      </c>
      <c r="F240" s="4" t="s">
        <v>1325</v>
      </c>
      <c r="G240" s="8"/>
      <c r="H240" s="8"/>
      <c r="I240" s="8"/>
      <c r="J240" s="4" t="s">
        <v>71</v>
      </c>
      <c r="K240" s="4"/>
      <c r="L240" s="4">
        <v>1</v>
      </c>
      <c r="M240" s="4">
        <v>0</v>
      </c>
      <c r="N240" s="4">
        <v>0</v>
      </c>
      <c r="O240" s="4" t="s">
        <v>1326</v>
      </c>
      <c r="P240" s="45">
        <v>43405</v>
      </c>
      <c r="Q240" s="45">
        <v>43830</v>
      </c>
      <c r="R240" s="49"/>
      <c r="S240" s="49"/>
      <c r="T240" s="49"/>
      <c r="U240" s="4" t="s">
        <v>90</v>
      </c>
      <c r="V240" s="8"/>
      <c r="W240" s="8"/>
      <c r="X240" s="8"/>
      <c r="Y240" s="8"/>
      <c r="Z240" s="8"/>
      <c r="AA240" s="31"/>
      <c r="AB240" s="32"/>
      <c r="AC240" s="8"/>
      <c r="AD240" s="8"/>
      <c r="AE240" s="8"/>
      <c r="AF240" s="8"/>
      <c r="AG240" s="33"/>
      <c r="AH240" s="34"/>
      <c r="AI240" s="35"/>
    </row>
    <row r="241" spans="1:35" ht="14">
      <c r="A241" s="36"/>
      <c r="B241" s="51" t="s">
        <v>1327</v>
      </c>
      <c r="C241" s="38"/>
      <c r="D241" s="38"/>
      <c r="E241" s="38"/>
      <c r="F241" s="39"/>
      <c r="G241" s="38"/>
      <c r="H241" s="38"/>
      <c r="I241" s="38"/>
      <c r="J241" s="38"/>
      <c r="K241" s="38"/>
      <c r="L241" s="36"/>
      <c r="M241" s="38"/>
      <c r="N241" s="38"/>
      <c r="O241" s="38"/>
      <c r="P241" s="41"/>
      <c r="Q241" s="41"/>
      <c r="R241" s="42"/>
      <c r="S241" s="8"/>
      <c r="T241" s="42"/>
      <c r="U241" s="38"/>
      <c r="V241" s="38"/>
      <c r="W241" s="38"/>
      <c r="X241" s="38"/>
      <c r="Y241" s="38"/>
      <c r="Z241" s="38"/>
      <c r="AA241" s="52"/>
      <c r="AB241" s="53"/>
      <c r="AC241" s="38"/>
      <c r="AD241" s="38"/>
      <c r="AE241" s="38"/>
      <c r="AF241" s="38"/>
      <c r="AG241" s="54"/>
      <c r="AH241" s="34"/>
      <c r="AI241" s="35"/>
    </row>
    <row r="242" spans="1:35" ht="13">
      <c r="A242" s="8"/>
      <c r="B242" s="8"/>
      <c r="C242" s="8"/>
      <c r="D242" s="8"/>
      <c r="E242" s="8"/>
      <c r="F242" s="87"/>
      <c r="G242" s="8"/>
      <c r="H242" s="8"/>
      <c r="I242" s="8"/>
      <c r="J242" s="8"/>
      <c r="K242" s="8"/>
      <c r="L242" s="8"/>
      <c r="M242" s="8"/>
      <c r="N242" s="8"/>
      <c r="O242" s="8"/>
      <c r="P242" s="88"/>
      <c r="Q242" s="88"/>
      <c r="R242" s="49"/>
      <c r="S242" s="49"/>
      <c r="T242" s="49"/>
      <c r="U242" s="8"/>
      <c r="V242" s="8"/>
      <c r="W242" s="8"/>
      <c r="X242" s="8"/>
      <c r="Y242" s="8"/>
      <c r="Z242" s="8"/>
      <c r="AA242" s="31"/>
      <c r="AB242" s="32"/>
      <c r="AC242" s="8"/>
      <c r="AD242" s="8"/>
      <c r="AE242" s="8"/>
      <c r="AF242" s="8"/>
      <c r="AG242" s="33"/>
      <c r="AH242" s="34"/>
      <c r="AI242" s="35"/>
    </row>
    <row r="243" spans="1:35" ht="13">
      <c r="A243" s="8"/>
      <c r="B243" s="8"/>
      <c r="C243" s="8"/>
      <c r="D243" s="8"/>
      <c r="E243" s="8"/>
      <c r="F243" s="87"/>
      <c r="G243" s="8"/>
      <c r="H243" s="8"/>
      <c r="I243" s="8"/>
      <c r="J243" s="8"/>
      <c r="K243" s="8"/>
      <c r="L243" s="8"/>
      <c r="M243" s="8"/>
      <c r="N243" s="8"/>
      <c r="O243" s="8"/>
      <c r="P243" s="88"/>
      <c r="Q243" s="88"/>
      <c r="R243" s="49"/>
      <c r="S243" s="49"/>
      <c r="T243" s="49"/>
      <c r="U243" s="8"/>
      <c r="V243" s="8"/>
      <c r="W243" s="8"/>
      <c r="X243" s="8"/>
      <c r="Y243" s="8"/>
      <c r="Z243" s="8"/>
      <c r="AA243" s="31"/>
      <c r="AB243" s="32"/>
      <c r="AC243" s="8"/>
      <c r="AD243" s="8"/>
      <c r="AE243" s="8"/>
      <c r="AF243" s="8"/>
      <c r="AG243" s="33"/>
      <c r="AH243" s="34"/>
      <c r="AI243" s="35"/>
    </row>
    <row r="244" spans="1:35" ht="14">
      <c r="A244" s="36"/>
      <c r="B244" s="51" t="s">
        <v>1330</v>
      </c>
      <c r="C244" s="38"/>
      <c r="D244" s="38"/>
      <c r="E244" s="38"/>
      <c r="F244" s="39"/>
      <c r="G244" s="38"/>
      <c r="H244" s="38"/>
      <c r="I244" s="38"/>
      <c r="J244" s="38"/>
      <c r="K244" s="38"/>
      <c r="L244" s="36"/>
      <c r="M244" s="38"/>
      <c r="N244" s="38"/>
      <c r="O244" s="38"/>
      <c r="P244" s="41"/>
      <c r="Q244" s="41"/>
      <c r="R244" s="42"/>
      <c r="S244" s="8"/>
      <c r="T244" s="42"/>
      <c r="U244" s="38"/>
      <c r="V244" s="38"/>
      <c r="W244" s="38"/>
      <c r="X244" s="38"/>
      <c r="Y244" s="38"/>
      <c r="Z244" s="38"/>
      <c r="AA244" s="52"/>
      <c r="AB244" s="53"/>
      <c r="AC244" s="38"/>
      <c r="AD244" s="38"/>
      <c r="AE244" s="38"/>
      <c r="AF244" s="38"/>
      <c r="AG244" s="54"/>
      <c r="AH244" s="34"/>
      <c r="AI244" s="35"/>
    </row>
    <row r="245" spans="1:35" ht="118.5" customHeight="1">
      <c r="A245" s="4">
        <v>1</v>
      </c>
      <c r="B245" s="4" t="s">
        <v>1333</v>
      </c>
      <c r="C245" s="4" t="s">
        <v>1334</v>
      </c>
      <c r="D245" s="4" t="s">
        <v>711</v>
      </c>
      <c r="E245" s="4" t="s">
        <v>790</v>
      </c>
      <c r="F245" s="43" t="s">
        <v>290</v>
      </c>
      <c r="G245" s="4">
        <v>2</v>
      </c>
      <c r="H245" s="4">
        <v>4</v>
      </c>
      <c r="I245" s="4" t="s">
        <v>1294</v>
      </c>
      <c r="J245" s="4" t="s">
        <v>69</v>
      </c>
      <c r="K245" s="4" t="s">
        <v>1335</v>
      </c>
      <c r="L245" s="4">
        <v>1</v>
      </c>
      <c r="M245" s="4">
        <v>0</v>
      </c>
      <c r="N245" s="4">
        <v>1</v>
      </c>
      <c r="O245" s="4" t="s">
        <v>1336</v>
      </c>
      <c r="P245" s="45">
        <v>43405</v>
      </c>
      <c r="Q245" s="45">
        <v>45656</v>
      </c>
      <c r="R245" s="49"/>
      <c r="S245" s="49"/>
      <c r="T245" s="49"/>
      <c r="U245" s="4" t="s">
        <v>90</v>
      </c>
      <c r="V245" s="4">
        <v>110</v>
      </c>
      <c r="W245" s="8"/>
      <c r="X245" s="8"/>
      <c r="Y245" s="8"/>
      <c r="Z245" s="8"/>
      <c r="AA245" s="31"/>
      <c r="AB245" s="32"/>
      <c r="AC245" s="8"/>
      <c r="AD245" s="8"/>
      <c r="AE245" s="8"/>
      <c r="AF245" s="8"/>
      <c r="AG245" s="33"/>
      <c r="AH245" s="34"/>
      <c r="AI245" s="35"/>
    </row>
    <row r="246" spans="1:35" ht="60" customHeight="1">
      <c r="A246" s="4">
        <v>2</v>
      </c>
      <c r="B246" s="4" t="s">
        <v>1337</v>
      </c>
      <c r="C246" s="4" t="s">
        <v>1338</v>
      </c>
      <c r="D246" s="4" t="s">
        <v>711</v>
      </c>
      <c r="E246" s="4" t="s">
        <v>790</v>
      </c>
      <c r="F246" s="43" t="s">
        <v>309</v>
      </c>
      <c r="G246" s="4">
        <v>2</v>
      </c>
      <c r="H246" s="4">
        <v>4</v>
      </c>
      <c r="I246" s="4" t="s">
        <v>1294</v>
      </c>
      <c r="J246" s="4" t="s">
        <v>69</v>
      </c>
      <c r="K246" s="4" t="s">
        <v>1339</v>
      </c>
      <c r="L246" s="4">
        <v>1</v>
      </c>
      <c r="M246" s="4">
        <v>0</v>
      </c>
      <c r="N246" s="4">
        <v>1</v>
      </c>
      <c r="O246" s="4" t="s">
        <v>1336</v>
      </c>
      <c r="P246" s="45">
        <v>43405</v>
      </c>
      <c r="Q246" s="45">
        <v>45656</v>
      </c>
      <c r="R246" s="49"/>
      <c r="S246" s="49"/>
      <c r="T246" s="49"/>
      <c r="U246" s="4" t="s">
        <v>90</v>
      </c>
      <c r="V246" s="4">
        <v>150</v>
      </c>
      <c r="W246" s="4">
        <v>50</v>
      </c>
      <c r="X246" s="4">
        <v>40</v>
      </c>
      <c r="Y246" s="4">
        <v>40.32</v>
      </c>
      <c r="Z246" s="4">
        <v>40</v>
      </c>
      <c r="AA246" s="21">
        <v>40</v>
      </c>
      <c r="AB246" s="32"/>
      <c r="AC246" s="8"/>
      <c r="AD246" s="8"/>
      <c r="AE246" s="8"/>
      <c r="AF246" s="8"/>
      <c r="AG246" s="33"/>
      <c r="AH246" s="34"/>
      <c r="AI246" s="35"/>
    </row>
    <row r="247" spans="1:35" ht="162" customHeight="1">
      <c r="A247" s="4">
        <v>3</v>
      </c>
      <c r="B247" s="4" t="s">
        <v>1340</v>
      </c>
      <c r="C247" s="4" t="s">
        <v>1341</v>
      </c>
      <c r="D247" s="4" t="s">
        <v>711</v>
      </c>
      <c r="E247" s="4" t="s">
        <v>790</v>
      </c>
      <c r="F247" s="43" t="s">
        <v>317</v>
      </c>
      <c r="G247" s="4">
        <v>2</v>
      </c>
      <c r="H247" s="4">
        <v>4</v>
      </c>
      <c r="I247" s="4" t="s">
        <v>1294</v>
      </c>
      <c r="J247" s="4" t="s">
        <v>69</v>
      </c>
      <c r="K247" s="4" t="s">
        <v>1339</v>
      </c>
      <c r="L247" s="4">
        <v>1</v>
      </c>
      <c r="M247" s="4">
        <v>0</v>
      </c>
      <c r="N247" s="4">
        <v>1</v>
      </c>
      <c r="O247" s="4" t="s">
        <v>1336</v>
      </c>
      <c r="P247" s="45">
        <v>43405</v>
      </c>
      <c r="Q247" s="45">
        <v>45656</v>
      </c>
      <c r="R247" s="49"/>
      <c r="S247" s="49"/>
      <c r="T247" s="49"/>
      <c r="U247" s="4" t="s">
        <v>96</v>
      </c>
      <c r="V247" s="4">
        <v>107.04</v>
      </c>
      <c r="W247" s="4">
        <v>107.12</v>
      </c>
      <c r="X247" s="4">
        <v>108.99</v>
      </c>
      <c r="Y247" s="4">
        <v>108.99</v>
      </c>
      <c r="Z247" s="4">
        <v>108.99</v>
      </c>
      <c r="AA247" s="21">
        <v>108.99</v>
      </c>
      <c r="AB247" s="32"/>
      <c r="AC247" s="8"/>
      <c r="AD247" s="8"/>
      <c r="AE247" s="8"/>
      <c r="AF247" s="8"/>
      <c r="AG247" s="33"/>
      <c r="AH247" s="34"/>
      <c r="AI247" s="35"/>
    </row>
    <row r="248" spans="1:35" ht="153" customHeight="1">
      <c r="A248" s="4">
        <v>4</v>
      </c>
      <c r="B248" s="4" t="s">
        <v>1344</v>
      </c>
      <c r="C248" s="4" t="s">
        <v>1345</v>
      </c>
      <c r="D248" s="4" t="s">
        <v>711</v>
      </c>
      <c r="E248" s="4" t="s">
        <v>790</v>
      </c>
      <c r="F248" s="43" t="s">
        <v>322</v>
      </c>
      <c r="G248" s="4">
        <v>2</v>
      </c>
      <c r="H248" s="4">
        <v>4</v>
      </c>
      <c r="I248" s="4" t="s">
        <v>1294</v>
      </c>
      <c r="J248" s="4" t="s">
        <v>69</v>
      </c>
      <c r="K248" s="4" t="s">
        <v>1339</v>
      </c>
      <c r="L248" s="4">
        <v>1</v>
      </c>
      <c r="M248" s="4">
        <v>0</v>
      </c>
      <c r="N248" s="4">
        <v>1</v>
      </c>
      <c r="O248" s="4" t="s">
        <v>1336</v>
      </c>
      <c r="P248" s="45">
        <v>43405</v>
      </c>
      <c r="Q248" s="45">
        <v>45656</v>
      </c>
      <c r="R248" s="49"/>
      <c r="S248" s="49"/>
      <c r="T248" s="49"/>
      <c r="U248" s="4" t="s">
        <v>96</v>
      </c>
      <c r="V248" s="4">
        <v>250</v>
      </c>
      <c r="W248" s="4">
        <v>150</v>
      </c>
      <c r="X248" s="4">
        <v>150</v>
      </c>
      <c r="Y248" s="4">
        <v>150</v>
      </c>
      <c r="Z248" s="4">
        <v>150</v>
      </c>
      <c r="AA248" s="21">
        <v>150</v>
      </c>
      <c r="AB248" s="32"/>
      <c r="AC248" s="8"/>
      <c r="AD248" s="8"/>
      <c r="AE248" s="8"/>
      <c r="AF248" s="8"/>
      <c r="AG248" s="33"/>
      <c r="AH248" s="34"/>
      <c r="AI248" s="35"/>
    </row>
    <row r="249" spans="1:35" ht="67.5" customHeight="1">
      <c r="A249" s="4">
        <v>5</v>
      </c>
      <c r="B249" s="4" t="s">
        <v>1347</v>
      </c>
      <c r="C249" s="4" t="s">
        <v>1348</v>
      </c>
      <c r="D249" s="4" t="s">
        <v>711</v>
      </c>
      <c r="E249" s="4" t="s">
        <v>790</v>
      </c>
      <c r="F249" s="43" t="s">
        <v>329</v>
      </c>
      <c r="G249" s="4">
        <v>2</v>
      </c>
      <c r="H249" s="4">
        <v>4</v>
      </c>
      <c r="I249" s="4" t="s">
        <v>1294</v>
      </c>
      <c r="J249" s="4" t="s">
        <v>69</v>
      </c>
      <c r="K249" s="4" t="s">
        <v>1339</v>
      </c>
      <c r="L249" s="4">
        <v>1</v>
      </c>
      <c r="M249" s="4">
        <v>0</v>
      </c>
      <c r="N249" s="4">
        <v>1</v>
      </c>
      <c r="O249" s="4" t="s">
        <v>1336</v>
      </c>
      <c r="P249" s="45">
        <v>43405</v>
      </c>
      <c r="Q249" s="45">
        <v>45656</v>
      </c>
      <c r="R249" s="49"/>
      <c r="S249" s="49"/>
      <c r="T249" s="49"/>
      <c r="U249" s="4" t="s">
        <v>90</v>
      </c>
      <c r="V249" s="4">
        <v>200</v>
      </c>
      <c r="W249" s="4">
        <v>250</v>
      </c>
      <c r="X249" s="4">
        <v>250</v>
      </c>
      <c r="Y249" s="4">
        <v>250</v>
      </c>
      <c r="Z249" s="4">
        <v>250</v>
      </c>
      <c r="AA249" s="21">
        <v>250</v>
      </c>
      <c r="AB249" s="32"/>
      <c r="AC249" s="8"/>
      <c r="AD249" s="8"/>
      <c r="AE249" s="8"/>
      <c r="AF249" s="8"/>
      <c r="AG249" s="33"/>
      <c r="AH249" s="34"/>
      <c r="AI249" s="35"/>
    </row>
    <row r="250" spans="1:35" ht="156" customHeight="1">
      <c r="A250" s="4">
        <v>6</v>
      </c>
      <c r="B250" s="4" t="s">
        <v>1349</v>
      </c>
      <c r="C250" s="4" t="s">
        <v>1352</v>
      </c>
      <c r="D250" s="4" t="s">
        <v>711</v>
      </c>
      <c r="E250" s="4" t="s">
        <v>790</v>
      </c>
      <c r="F250" s="43" t="s">
        <v>335</v>
      </c>
      <c r="G250" s="4">
        <v>2</v>
      </c>
      <c r="H250" s="4">
        <v>4</v>
      </c>
      <c r="I250" s="4" t="s">
        <v>1294</v>
      </c>
      <c r="J250" s="4" t="s">
        <v>69</v>
      </c>
      <c r="K250" s="4" t="s">
        <v>1339</v>
      </c>
      <c r="L250" s="4">
        <v>1</v>
      </c>
      <c r="M250" s="4">
        <v>0</v>
      </c>
      <c r="N250" s="4">
        <v>1</v>
      </c>
      <c r="O250" s="4" t="s">
        <v>1336</v>
      </c>
      <c r="P250" s="45">
        <v>43405</v>
      </c>
      <c r="Q250" s="45">
        <v>45656</v>
      </c>
      <c r="R250" s="49"/>
      <c r="S250" s="49"/>
      <c r="T250" s="49"/>
      <c r="U250" s="4" t="s">
        <v>96</v>
      </c>
      <c r="V250" s="4">
        <v>324.2</v>
      </c>
      <c r="W250" s="4">
        <v>369.8</v>
      </c>
      <c r="X250" s="4">
        <v>370.96</v>
      </c>
      <c r="Y250" s="4">
        <v>370.96</v>
      </c>
      <c r="Z250" s="4">
        <v>370.96</v>
      </c>
      <c r="AA250" s="21">
        <v>370.96</v>
      </c>
      <c r="AB250" s="32"/>
      <c r="AC250" s="8"/>
      <c r="AD250" s="8"/>
      <c r="AE250" s="8"/>
      <c r="AF250" s="8"/>
      <c r="AG250" s="33"/>
      <c r="AH250" s="34"/>
      <c r="AI250" s="35"/>
    </row>
    <row r="251" spans="1:35" ht="93.75" customHeight="1">
      <c r="A251" s="4">
        <v>7</v>
      </c>
      <c r="B251" s="4" t="s">
        <v>1353</v>
      </c>
      <c r="C251" s="4" t="s">
        <v>1354</v>
      </c>
      <c r="D251" s="4" t="s">
        <v>711</v>
      </c>
      <c r="E251" s="4" t="s">
        <v>790</v>
      </c>
      <c r="F251" s="43" t="s">
        <v>341</v>
      </c>
      <c r="G251" s="4">
        <v>2</v>
      </c>
      <c r="H251" s="4">
        <v>4</v>
      </c>
      <c r="I251" s="4" t="s">
        <v>1294</v>
      </c>
      <c r="J251" s="4" t="s">
        <v>69</v>
      </c>
      <c r="K251" s="4" t="s">
        <v>1339</v>
      </c>
      <c r="L251" s="4">
        <v>1</v>
      </c>
      <c r="M251" s="4">
        <v>0</v>
      </c>
      <c r="N251" s="4">
        <v>1</v>
      </c>
      <c r="O251" s="4" t="s">
        <v>1336</v>
      </c>
      <c r="P251" s="45">
        <v>43405</v>
      </c>
      <c r="Q251" s="45">
        <v>45656</v>
      </c>
      <c r="R251" s="49"/>
      <c r="S251" s="49"/>
      <c r="T251" s="49"/>
      <c r="U251" s="4" t="s">
        <v>96</v>
      </c>
      <c r="V251" s="4">
        <v>50</v>
      </c>
      <c r="W251" s="4">
        <v>50</v>
      </c>
      <c r="X251" s="4">
        <v>50</v>
      </c>
      <c r="Y251" s="4">
        <v>50</v>
      </c>
      <c r="Z251" s="4">
        <v>50</v>
      </c>
      <c r="AA251" s="21">
        <v>50</v>
      </c>
      <c r="AB251" s="32"/>
      <c r="AC251" s="8"/>
      <c r="AD251" s="8"/>
      <c r="AE251" s="8"/>
      <c r="AF251" s="8"/>
      <c r="AG251" s="33"/>
      <c r="AH251" s="34"/>
      <c r="AI251" s="35"/>
    </row>
    <row r="252" spans="1:35" ht="59.25" customHeight="1">
      <c r="A252" s="4">
        <v>8</v>
      </c>
      <c r="B252" s="4" t="s">
        <v>1355</v>
      </c>
      <c r="C252" s="4" t="s">
        <v>1356</v>
      </c>
      <c r="D252" s="4" t="s">
        <v>711</v>
      </c>
      <c r="E252" s="4" t="s">
        <v>790</v>
      </c>
      <c r="F252" s="43" t="s">
        <v>347</v>
      </c>
      <c r="G252" s="4">
        <v>2</v>
      </c>
      <c r="H252" s="4">
        <v>4</v>
      </c>
      <c r="I252" s="4" t="s">
        <v>1294</v>
      </c>
      <c r="J252" s="4" t="s">
        <v>69</v>
      </c>
      <c r="K252" s="4" t="s">
        <v>1339</v>
      </c>
      <c r="L252" s="4">
        <v>1</v>
      </c>
      <c r="M252" s="4">
        <v>0</v>
      </c>
      <c r="N252" s="4">
        <v>1</v>
      </c>
      <c r="O252" s="4" t="s">
        <v>1336</v>
      </c>
      <c r="P252" s="45">
        <v>43405</v>
      </c>
      <c r="Q252" s="45">
        <v>45651</v>
      </c>
      <c r="R252" s="49"/>
      <c r="S252" s="49"/>
      <c r="T252" s="49"/>
      <c r="U252" s="4" t="s">
        <v>96</v>
      </c>
      <c r="V252" s="4">
        <v>250</v>
      </c>
      <c r="W252" s="4">
        <v>250</v>
      </c>
      <c r="X252" s="4">
        <v>250</v>
      </c>
      <c r="Y252" s="4">
        <v>250.91</v>
      </c>
      <c r="Z252" s="4">
        <v>250</v>
      </c>
      <c r="AA252" s="21">
        <v>250</v>
      </c>
      <c r="AB252" s="32"/>
      <c r="AC252" s="8"/>
      <c r="AD252" s="8"/>
      <c r="AE252" s="8"/>
      <c r="AF252" s="8"/>
      <c r="AG252" s="33"/>
      <c r="AH252" s="34"/>
      <c r="AI252" s="35"/>
    </row>
    <row r="253" spans="1:35" ht="109.5" customHeight="1">
      <c r="A253" s="4">
        <v>9</v>
      </c>
      <c r="B253" s="4" t="s">
        <v>1359</v>
      </c>
      <c r="C253" s="4" t="s">
        <v>1360</v>
      </c>
      <c r="D253" s="4" t="s">
        <v>711</v>
      </c>
      <c r="E253" s="4" t="s">
        <v>790</v>
      </c>
      <c r="F253" s="43" t="s">
        <v>1361</v>
      </c>
      <c r="G253" s="4">
        <v>2</v>
      </c>
      <c r="H253" s="4">
        <v>4</v>
      </c>
      <c r="I253" s="4" t="s">
        <v>1294</v>
      </c>
      <c r="J253" s="4" t="s">
        <v>69</v>
      </c>
      <c r="K253" s="4" t="s">
        <v>1339</v>
      </c>
      <c r="L253" s="4">
        <v>1</v>
      </c>
      <c r="M253" s="4">
        <v>0</v>
      </c>
      <c r="N253" s="4">
        <v>1</v>
      </c>
      <c r="O253" s="4" t="s">
        <v>1336</v>
      </c>
      <c r="P253" s="45">
        <v>43405</v>
      </c>
      <c r="Q253" s="45">
        <v>45656</v>
      </c>
      <c r="R253" s="49"/>
      <c r="S253" s="49"/>
      <c r="T253" s="49"/>
      <c r="U253" s="4" t="s">
        <v>90</v>
      </c>
      <c r="V253" s="4">
        <v>53</v>
      </c>
      <c r="W253" s="4">
        <v>76.209999999999994</v>
      </c>
      <c r="X253" s="4">
        <v>76.209999999999994</v>
      </c>
      <c r="Y253" s="4">
        <v>76.209999999999994</v>
      </c>
      <c r="Z253" s="4">
        <v>76.209999999999994</v>
      </c>
      <c r="AA253" s="21">
        <v>76.209999999999994</v>
      </c>
      <c r="AB253" s="32"/>
      <c r="AC253" s="8"/>
      <c r="AD253" s="8"/>
      <c r="AE253" s="8"/>
      <c r="AF253" s="8"/>
      <c r="AG253" s="33"/>
      <c r="AH253" s="34"/>
      <c r="AI253" s="35"/>
    </row>
    <row r="254" spans="1:35" ht="56.25" customHeight="1">
      <c r="A254" s="4">
        <v>10</v>
      </c>
      <c r="B254" s="4" t="s">
        <v>1362</v>
      </c>
      <c r="C254" s="4" t="s">
        <v>1363</v>
      </c>
      <c r="D254" s="4" t="s">
        <v>711</v>
      </c>
      <c r="E254" s="4" t="s">
        <v>790</v>
      </c>
      <c r="F254" s="43" t="s">
        <v>360</v>
      </c>
      <c r="G254" s="4">
        <v>2</v>
      </c>
      <c r="H254" s="4">
        <v>4</v>
      </c>
      <c r="I254" s="4" t="s">
        <v>1294</v>
      </c>
      <c r="J254" s="4" t="s">
        <v>71</v>
      </c>
      <c r="K254" s="8"/>
      <c r="L254" s="4">
        <v>1</v>
      </c>
      <c r="M254" s="4">
        <v>0</v>
      </c>
      <c r="N254" s="4">
        <v>0</v>
      </c>
      <c r="O254" s="4" t="s">
        <v>1364</v>
      </c>
      <c r="P254" s="45">
        <v>43405</v>
      </c>
      <c r="Q254" s="45">
        <v>45656</v>
      </c>
      <c r="R254" s="49"/>
      <c r="S254" s="49"/>
      <c r="T254" s="49"/>
      <c r="U254" s="4" t="s">
        <v>90</v>
      </c>
      <c r="V254" s="4">
        <v>390.5</v>
      </c>
      <c r="W254" s="4">
        <v>2401</v>
      </c>
      <c r="X254" s="4">
        <v>2265</v>
      </c>
      <c r="Y254" s="4">
        <v>730</v>
      </c>
      <c r="Z254" s="4">
        <v>590</v>
      </c>
      <c r="AA254" s="21">
        <v>582</v>
      </c>
      <c r="AB254" s="32"/>
      <c r="AC254" s="8"/>
      <c r="AD254" s="8"/>
      <c r="AE254" s="8"/>
      <c r="AF254" s="8"/>
      <c r="AG254" s="33"/>
      <c r="AH254" s="34"/>
      <c r="AI254" s="35"/>
    </row>
    <row r="255" spans="1:35" ht="85.5" customHeight="1">
      <c r="A255" s="4">
        <v>11</v>
      </c>
      <c r="B255" s="4" t="s">
        <v>1365</v>
      </c>
      <c r="C255" s="4" t="s">
        <v>1366</v>
      </c>
      <c r="D255" s="4" t="s">
        <v>711</v>
      </c>
      <c r="E255" s="4" t="s">
        <v>790</v>
      </c>
      <c r="F255" s="43" t="s">
        <v>365</v>
      </c>
      <c r="G255" s="4">
        <v>2</v>
      </c>
      <c r="H255" s="4">
        <v>4</v>
      </c>
      <c r="I255" s="4" t="s">
        <v>1294</v>
      </c>
      <c r="J255" s="4" t="s">
        <v>71</v>
      </c>
      <c r="K255" s="8"/>
      <c r="L255" s="4">
        <v>1</v>
      </c>
      <c r="M255" s="4">
        <v>0</v>
      </c>
      <c r="N255" s="4">
        <v>0</v>
      </c>
      <c r="O255" s="4" t="s">
        <v>1364</v>
      </c>
      <c r="P255" s="45">
        <v>43405</v>
      </c>
      <c r="Q255" s="45">
        <v>45656</v>
      </c>
      <c r="R255" s="49"/>
      <c r="S255" s="49"/>
      <c r="T255" s="49"/>
      <c r="U255" s="4" t="s">
        <v>96</v>
      </c>
      <c r="V255" s="4">
        <v>230</v>
      </c>
      <c r="W255" s="4">
        <v>230</v>
      </c>
      <c r="X255" s="4">
        <v>230</v>
      </c>
      <c r="Y255" s="4">
        <v>230</v>
      </c>
      <c r="Z255" s="4">
        <v>270</v>
      </c>
      <c r="AA255" s="21">
        <v>285</v>
      </c>
      <c r="AB255" s="32"/>
      <c r="AC255" s="8"/>
      <c r="AD255" s="8"/>
      <c r="AE255" s="8"/>
      <c r="AF255" s="8"/>
      <c r="AG255" s="33"/>
      <c r="AH255" s="34"/>
      <c r="AI255" s="35"/>
    </row>
    <row r="256" spans="1:35" ht="103.5" customHeight="1">
      <c r="A256" s="4">
        <v>12</v>
      </c>
      <c r="B256" s="4" t="s">
        <v>1368</v>
      </c>
      <c r="C256" s="4" t="s">
        <v>1369</v>
      </c>
      <c r="D256" s="4" t="s">
        <v>711</v>
      </c>
      <c r="E256" s="4" t="s">
        <v>790</v>
      </c>
      <c r="F256" s="43" t="s">
        <v>368</v>
      </c>
      <c r="G256" s="4">
        <v>2</v>
      </c>
      <c r="H256" s="4">
        <v>4</v>
      </c>
      <c r="I256" s="4" t="s">
        <v>1294</v>
      </c>
      <c r="J256" s="4" t="s">
        <v>71</v>
      </c>
      <c r="K256" s="8"/>
      <c r="L256" s="4">
        <v>1</v>
      </c>
      <c r="M256" s="4">
        <v>0</v>
      </c>
      <c r="N256" s="4">
        <v>0</v>
      </c>
      <c r="O256" s="4" t="s">
        <v>1364</v>
      </c>
      <c r="P256" s="45">
        <v>43405</v>
      </c>
      <c r="Q256" s="45">
        <v>45656</v>
      </c>
      <c r="R256" s="49"/>
      <c r="S256" s="49"/>
      <c r="T256" s="49"/>
      <c r="U256" s="4" t="s">
        <v>96</v>
      </c>
      <c r="V256" s="4">
        <v>780</v>
      </c>
      <c r="W256" s="4">
        <v>818.1</v>
      </c>
      <c r="X256" s="4">
        <v>818.1</v>
      </c>
      <c r="Y256" s="4">
        <v>928.1</v>
      </c>
      <c r="Z256" s="4">
        <v>621</v>
      </c>
      <c r="AA256" s="21">
        <v>680</v>
      </c>
      <c r="AB256" s="32"/>
      <c r="AC256" s="8"/>
      <c r="AD256" s="8"/>
      <c r="AE256" s="8"/>
      <c r="AF256" s="8"/>
      <c r="AG256" s="33"/>
      <c r="AH256" s="34"/>
      <c r="AI256" s="35"/>
    </row>
    <row r="257" spans="1:35" ht="76.5" customHeight="1">
      <c r="A257" s="4">
        <v>13</v>
      </c>
      <c r="B257" s="4" t="s">
        <v>1370</v>
      </c>
      <c r="C257" s="4" t="s">
        <v>1371</v>
      </c>
      <c r="D257" s="4" t="s">
        <v>711</v>
      </c>
      <c r="E257" s="4" t="s">
        <v>790</v>
      </c>
      <c r="F257" s="43" t="s">
        <v>371</v>
      </c>
      <c r="G257" s="4">
        <v>2</v>
      </c>
      <c r="H257" s="4">
        <v>4</v>
      </c>
      <c r="I257" s="4" t="s">
        <v>1294</v>
      </c>
      <c r="J257" s="4" t="s">
        <v>71</v>
      </c>
      <c r="K257" s="8"/>
      <c r="L257" s="4">
        <v>1</v>
      </c>
      <c r="M257" s="4">
        <v>0</v>
      </c>
      <c r="N257" s="4">
        <v>0</v>
      </c>
      <c r="O257" s="4" t="s">
        <v>1364</v>
      </c>
      <c r="P257" s="45">
        <v>43405</v>
      </c>
      <c r="Q257" s="45">
        <v>45656</v>
      </c>
      <c r="R257" s="49"/>
      <c r="S257" s="49"/>
      <c r="T257" s="49"/>
      <c r="U257" s="4" t="s">
        <v>96</v>
      </c>
      <c r="V257" s="4">
        <v>318</v>
      </c>
      <c r="W257" s="4">
        <v>506.9</v>
      </c>
      <c r="X257" s="4">
        <v>506.9</v>
      </c>
      <c r="Y257" s="4">
        <v>506.9</v>
      </c>
      <c r="Z257" s="4">
        <v>100</v>
      </c>
      <c r="AA257" s="21">
        <v>100</v>
      </c>
      <c r="AB257" s="32"/>
      <c r="AC257" s="8"/>
      <c r="AD257" s="8"/>
      <c r="AE257" s="8"/>
      <c r="AF257" s="8"/>
      <c r="AG257" s="33"/>
      <c r="AH257" s="34"/>
      <c r="AI257" s="35"/>
    </row>
    <row r="258" spans="1:35" ht="65.25" customHeight="1">
      <c r="A258" s="4">
        <v>14</v>
      </c>
      <c r="B258" s="4" t="s">
        <v>1374</v>
      </c>
      <c r="C258" s="4" t="s">
        <v>1375</v>
      </c>
      <c r="D258" s="4" t="s">
        <v>711</v>
      </c>
      <c r="E258" s="4" t="s">
        <v>790</v>
      </c>
      <c r="F258" s="43" t="s">
        <v>376</v>
      </c>
      <c r="G258" s="4">
        <v>2</v>
      </c>
      <c r="H258" s="4">
        <v>4</v>
      </c>
      <c r="I258" s="4" t="s">
        <v>1294</v>
      </c>
      <c r="J258" s="4" t="s">
        <v>71</v>
      </c>
      <c r="K258" s="8"/>
      <c r="L258" s="4">
        <v>1</v>
      </c>
      <c r="M258" s="4">
        <v>0</v>
      </c>
      <c r="N258" s="4">
        <v>0</v>
      </c>
      <c r="O258" s="4" t="s">
        <v>1364</v>
      </c>
      <c r="P258" s="45">
        <v>43405</v>
      </c>
      <c r="Q258" s="45">
        <v>45656</v>
      </c>
      <c r="R258" s="49"/>
      <c r="S258" s="49"/>
      <c r="T258" s="49"/>
      <c r="U258" s="4" t="s">
        <v>90</v>
      </c>
      <c r="V258" s="4">
        <v>80</v>
      </c>
      <c r="W258" s="4">
        <v>1000</v>
      </c>
      <c r="X258" s="4">
        <v>1410</v>
      </c>
      <c r="Y258" s="4">
        <v>570</v>
      </c>
      <c r="Z258" s="4">
        <v>440</v>
      </c>
      <c r="AA258" s="21">
        <v>440</v>
      </c>
      <c r="AB258" s="32"/>
      <c r="AC258" s="8"/>
      <c r="AD258" s="8"/>
      <c r="AE258" s="8"/>
      <c r="AF258" s="8"/>
      <c r="AG258" s="33"/>
      <c r="AH258" s="34"/>
      <c r="AI258" s="35"/>
    </row>
    <row r="259" spans="1:35" ht="68.25" customHeight="1">
      <c r="A259" s="4">
        <v>15</v>
      </c>
      <c r="B259" s="4" t="s">
        <v>1377</v>
      </c>
      <c r="C259" s="4" t="s">
        <v>1378</v>
      </c>
      <c r="D259" s="4" t="s">
        <v>711</v>
      </c>
      <c r="E259" s="4" t="s">
        <v>790</v>
      </c>
      <c r="F259" s="43" t="s">
        <v>564</v>
      </c>
      <c r="G259" s="4">
        <v>2</v>
      </c>
      <c r="H259" s="8"/>
      <c r="I259" s="4" t="s">
        <v>1379</v>
      </c>
      <c r="J259" s="4" t="s">
        <v>71</v>
      </c>
      <c r="K259" s="8"/>
      <c r="L259" s="4">
        <v>1</v>
      </c>
      <c r="M259" s="4">
        <v>0</v>
      </c>
      <c r="N259" s="4">
        <v>0</v>
      </c>
      <c r="O259" s="4" t="s">
        <v>1364</v>
      </c>
      <c r="P259" s="45">
        <v>43405</v>
      </c>
      <c r="Q259" s="45">
        <v>45656</v>
      </c>
      <c r="R259" s="49"/>
      <c r="S259" s="49"/>
      <c r="T259" s="49"/>
      <c r="U259" s="4" t="s">
        <v>90</v>
      </c>
      <c r="V259" s="4">
        <v>20</v>
      </c>
      <c r="W259" s="4">
        <v>950</v>
      </c>
      <c r="X259" s="4">
        <v>610.20000000000005</v>
      </c>
      <c r="Y259" s="4">
        <v>180</v>
      </c>
      <c r="Z259" s="4">
        <v>160</v>
      </c>
      <c r="AA259" s="21">
        <v>160</v>
      </c>
      <c r="AB259" s="32"/>
      <c r="AC259" s="8"/>
      <c r="AD259" s="8"/>
      <c r="AE259" s="8"/>
      <c r="AF259" s="8"/>
      <c r="AG259" s="33"/>
      <c r="AH259" s="34"/>
      <c r="AI259" s="35"/>
    </row>
    <row r="260" spans="1:35" ht="14">
      <c r="A260" s="36"/>
      <c r="B260" s="51" t="s">
        <v>1380</v>
      </c>
      <c r="C260" s="38"/>
      <c r="D260" s="38"/>
      <c r="E260" s="38"/>
      <c r="F260" s="39"/>
      <c r="G260" s="38"/>
      <c r="H260" s="38"/>
      <c r="I260" s="38"/>
      <c r="J260" s="38"/>
      <c r="K260" s="38"/>
      <c r="L260" s="36"/>
      <c r="M260" s="38"/>
      <c r="N260" s="38"/>
      <c r="O260" s="38"/>
      <c r="P260" s="41"/>
      <c r="Q260" s="41"/>
      <c r="R260" s="42"/>
      <c r="S260" s="8"/>
      <c r="T260" s="42"/>
      <c r="U260" s="38"/>
      <c r="V260" s="38"/>
      <c r="W260" s="38"/>
      <c r="X260" s="38"/>
      <c r="Y260" s="38"/>
      <c r="Z260" s="38"/>
      <c r="AA260" s="52"/>
      <c r="AB260" s="53"/>
      <c r="AC260" s="38"/>
      <c r="AD260" s="38"/>
      <c r="AE260" s="38"/>
      <c r="AF260" s="38"/>
      <c r="AG260" s="54"/>
      <c r="AH260" s="34"/>
      <c r="AI260" s="35"/>
    </row>
    <row r="261" spans="1:35" ht="13">
      <c r="A261" s="8"/>
      <c r="B261" s="8"/>
      <c r="C261" s="8"/>
      <c r="D261" s="8"/>
      <c r="E261" s="8"/>
      <c r="F261" s="87"/>
      <c r="G261" s="8"/>
      <c r="H261" s="8"/>
      <c r="I261" s="8"/>
      <c r="J261" s="8"/>
      <c r="K261" s="8"/>
      <c r="L261" s="8"/>
      <c r="M261" s="8"/>
      <c r="N261" s="8"/>
      <c r="O261" s="8"/>
      <c r="P261" s="88"/>
      <c r="Q261" s="88"/>
      <c r="R261" s="49"/>
      <c r="S261" s="49"/>
      <c r="T261" s="49"/>
      <c r="U261" s="8"/>
      <c r="V261" s="8"/>
      <c r="W261" s="8"/>
      <c r="X261" s="8"/>
      <c r="Y261" s="8"/>
      <c r="Z261" s="8"/>
      <c r="AA261" s="31"/>
      <c r="AB261" s="32"/>
      <c r="AC261" s="8"/>
      <c r="AD261" s="8"/>
      <c r="AE261" s="8"/>
      <c r="AF261" s="8"/>
      <c r="AG261" s="33"/>
      <c r="AH261" s="34"/>
      <c r="AI261" s="35"/>
    </row>
    <row r="262" spans="1:35" ht="14">
      <c r="A262" s="161"/>
      <c r="B262" s="162" t="s">
        <v>1383</v>
      </c>
      <c r="C262" s="161"/>
      <c r="D262" s="161"/>
      <c r="E262" s="161"/>
      <c r="F262" s="163"/>
      <c r="G262" s="161"/>
      <c r="H262" s="161"/>
      <c r="I262" s="161"/>
      <c r="J262" s="161"/>
      <c r="K262" s="161"/>
      <c r="L262" s="161"/>
      <c r="M262" s="161"/>
      <c r="N262" s="161"/>
      <c r="O262" s="161"/>
      <c r="P262" s="164"/>
      <c r="Q262" s="164"/>
      <c r="R262" s="165"/>
      <c r="S262" s="165"/>
      <c r="T262" s="165"/>
      <c r="U262" s="161"/>
      <c r="V262" s="161"/>
      <c r="W262" s="161"/>
      <c r="X262" s="161"/>
      <c r="Y262" s="161"/>
      <c r="Z262" s="161"/>
      <c r="AA262" s="166"/>
      <c r="AB262" s="167"/>
      <c r="AC262" s="161"/>
      <c r="AD262" s="161"/>
      <c r="AE262" s="161"/>
      <c r="AF262" s="161"/>
      <c r="AG262" s="168"/>
      <c r="AH262" s="113"/>
      <c r="AI262" s="114"/>
    </row>
    <row r="263" spans="1:35" ht="65.25" customHeight="1">
      <c r="A263" s="8"/>
      <c r="B263" s="4" t="s">
        <v>1386</v>
      </c>
      <c r="C263" s="4" t="s">
        <v>1387</v>
      </c>
      <c r="D263" s="4" t="s">
        <v>711</v>
      </c>
      <c r="E263" s="169" t="s">
        <v>778</v>
      </c>
      <c r="F263" s="43" t="s">
        <v>290</v>
      </c>
      <c r="G263" s="4">
        <v>2</v>
      </c>
      <c r="H263" s="4"/>
      <c r="I263" s="4" t="s">
        <v>1388</v>
      </c>
      <c r="J263" s="4" t="s">
        <v>55</v>
      </c>
      <c r="K263" s="4" t="s">
        <v>1389</v>
      </c>
      <c r="L263" s="4">
        <v>1</v>
      </c>
      <c r="M263" s="4">
        <v>1</v>
      </c>
      <c r="N263" s="4">
        <v>0</v>
      </c>
      <c r="O263" s="170" t="s">
        <v>1391</v>
      </c>
      <c r="P263" s="45">
        <v>43405</v>
      </c>
      <c r="Q263" s="45">
        <v>44561</v>
      </c>
      <c r="R263" s="49"/>
      <c r="S263" s="49"/>
      <c r="T263" s="49"/>
      <c r="U263" s="4" t="s">
        <v>96</v>
      </c>
      <c r="V263" s="171">
        <v>970</v>
      </c>
      <c r="W263" s="171">
        <v>2450</v>
      </c>
      <c r="X263" s="171">
        <v>2540</v>
      </c>
      <c r="Y263" s="171">
        <v>0</v>
      </c>
      <c r="Z263" s="171">
        <v>0</v>
      </c>
      <c r="AA263" s="173">
        <v>0</v>
      </c>
      <c r="AB263" s="175"/>
      <c r="AC263" s="176">
        <v>2450</v>
      </c>
      <c r="AD263" s="177">
        <v>2540</v>
      </c>
      <c r="AE263" s="177">
        <v>0</v>
      </c>
      <c r="AF263" s="176">
        <v>0</v>
      </c>
      <c r="AG263" s="178"/>
      <c r="AH263" s="179" t="s">
        <v>1393</v>
      </c>
      <c r="AI263" s="35"/>
    </row>
    <row r="264" spans="1:35" ht="66.75" customHeight="1">
      <c r="A264" s="8"/>
      <c r="B264" s="4" t="s">
        <v>1395</v>
      </c>
      <c r="C264" s="4" t="s">
        <v>1396</v>
      </c>
      <c r="D264" s="4" t="s">
        <v>711</v>
      </c>
      <c r="E264" s="169" t="s">
        <v>778</v>
      </c>
      <c r="F264" s="43" t="s">
        <v>309</v>
      </c>
      <c r="G264" s="4">
        <v>2</v>
      </c>
      <c r="H264" s="180" t="s">
        <v>1397</v>
      </c>
      <c r="I264" s="4" t="s">
        <v>1398</v>
      </c>
      <c r="J264" s="4" t="s">
        <v>55</v>
      </c>
      <c r="K264" s="8"/>
      <c r="L264" s="4">
        <v>1</v>
      </c>
      <c r="M264" s="8"/>
      <c r="N264" s="8"/>
      <c r="O264" s="8"/>
      <c r="P264" s="45">
        <v>43405</v>
      </c>
      <c r="Q264" s="45">
        <v>45657</v>
      </c>
      <c r="R264" s="49"/>
      <c r="S264" s="49"/>
      <c r="T264" s="49"/>
      <c r="U264" s="4" t="s">
        <v>96</v>
      </c>
      <c r="V264" s="171">
        <v>80</v>
      </c>
      <c r="W264" s="171">
        <v>80</v>
      </c>
      <c r="X264" s="171">
        <v>80</v>
      </c>
      <c r="Y264" s="171">
        <v>80</v>
      </c>
      <c r="Z264" s="171">
        <v>80</v>
      </c>
      <c r="AA264" s="173">
        <v>80</v>
      </c>
      <c r="AB264" s="175"/>
      <c r="AC264" s="183">
        <v>80</v>
      </c>
      <c r="AD264" s="185">
        <v>80</v>
      </c>
      <c r="AE264" s="185">
        <v>80</v>
      </c>
      <c r="AF264" s="183">
        <v>80</v>
      </c>
      <c r="AG264" s="178"/>
      <c r="AH264" s="186" t="s">
        <v>1404</v>
      </c>
      <c r="AI264" s="35"/>
    </row>
    <row r="265" spans="1:35" ht="93" customHeight="1">
      <c r="A265" s="8"/>
      <c r="B265" s="4" t="s">
        <v>1405</v>
      </c>
      <c r="C265" s="4" t="s">
        <v>1406</v>
      </c>
      <c r="D265" s="4" t="s">
        <v>711</v>
      </c>
      <c r="E265" s="169" t="s">
        <v>778</v>
      </c>
      <c r="F265" s="43" t="s">
        <v>317</v>
      </c>
      <c r="G265" s="4">
        <v>2</v>
      </c>
      <c r="H265" s="180" t="s">
        <v>1397</v>
      </c>
      <c r="I265" s="4" t="s">
        <v>1398</v>
      </c>
      <c r="J265" s="4" t="s">
        <v>55</v>
      </c>
      <c r="K265" s="8"/>
      <c r="L265" s="4">
        <v>1</v>
      </c>
      <c r="M265" s="8"/>
      <c r="N265" s="8"/>
      <c r="O265" s="8"/>
      <c r="P265" s="45">
        <v>43405</v>
      </c>
      <c r="Q265" s="45">
        <v>45657</v>
      </c>
      <c r="R265" s="49"/>
      <c r="S265" s="49"/>
      <c r="T265" s="49"/>
      <c r="U265" s="4" t="s">
        <v>96</v>
      </c>
      <c r="V265" s="171">
        <v>1000</v>
      </c>
      <c r="W265" s="171">
        <v>1000</v>
      </c>
      <c r="X265" s="171">
        <v>1000</v>
      </c>
      <c r="Y265" s="171">
        <v>1500</v>
      </c>
      <c r="Z265" s="171">
        <v>1500</v>
      </c>
      <c r="AA265" s="173">
        <v>2000</v>
      </c>
      <c r="AB265" s="187"/>
      <c r="AC265" s="183">
        <v>1000</v>
      </c>
      <c r="AD265" s="185">
        <v>1000</v>
      </c>
      <c r="AE265" s="185">
        <v>1500</v>
      </c>
      <c r="AF265" s="183">
        <v>1500</v>
      </c>
      <c r="AG265" s="178"/>
      <c r="AH265" s="186" t="s">
        <v>1409</v>
      </c>
      <c r="AI265" s="35"/>
    </row>
    <row r="266" spans="1:35" ht="81.75" customHeight="1">
      <c r="A266" s="8"/>
      <c r="B266" s="4" t="s">
        <v>1410</v>
      </c>
      <c r="C266" s="4" t="s">
        <v>1411</v>
      </c>
      <c r="D266" s="4" t="s">
        <v>711</v>
      </c>
      <c r="E266" s="169" t="s">
        <v>778</v>
      </c>
      <c r="F266" s="43" t="s">
        <v>322</v>
      </c>
      <c r="G266" s="4">
        <v>2</v>
      </c>
      <c r="H266" s="4" t="s">
        <v>1412</v>
      </c>
      <c r="I266" s="4" t="s">
        <v>1398</v>
      </c>
      <c r="J266" s="4" t="s">
        <v>57</v>
      </c>
      <c r="K266" s="8"/>
      <c r="L266" s="4">
        <v>1</v>
      </c>
      <c r="M266" s="8"/>
      <c r="N266" s="8"/>
      <c r="O266" s="8"/>
      <c r="P266" s="45">
        <v>43405</v>
      </c>
      <c r="Q266" s="45">
        <v>45657</v>
      </c>
      <c r="R266" s="49"/>
      <c r="S266" s="49"/>
      <c r="T266" s="49"/>
      <c r="U266" s="4" t="s">
        <v>96</v>
      </c>
      <c r="V266" s="171">
        <v>1455</v>
      </c>
      <c r="W266" s="171">
        <v>1468.14</v>
      </c>
      <c r="X266" s="171">
        <v>1468.14</v>
      </c>
      <c r="Y266" s="171">
        <v>1468.48</v>
      </c>
      <c r="Z266" s="171">
        <v>1455</v>
      </c>
      <c r="AA266" s="173">
        <v>1455</v>
      </c>
      <c r="AB266" s="175"/>
      <c r="AC266" s="183">
        <v>1468.14</v>
      </c>
      <c r="AD266" s="185">
        <v>1468.14</v>
      </c>
      <c r="AE266" s="185">
        <v>1468.48</v>
      </c>
      <c r="AF266" s="183">
        <v>1455</v>
      </c>
      <c r="AG266" s="178"/>
      <c r="AH266" s="186" t="s">
        <v>1413</v>
      </c>
      <c r="AI266" s="35"/>
    </row>
    <row r="267" spans="1:35" ht="42.75" customHeight="1">
      <c r="A267" s="8"/>
      <c r="B267" s="188" t="s">
        <v>1414</v>
      </c>
      <c r="C267" s="4" t="s">
        <v>1415</v>
      </c>
      <c r="D267" s="4" t="s">
        <v>711</v>
      </c>
      <c r="E267" s="169" t="s">
        <v>778</v>
      </c>
      <c r="F267" s="43" t="s">
        <v>329</v>
      </c>
      <c r="G267" s="4">
        <v>2</v>
      </c>
      <c r="H267" s="4" t="s">
        <v>1397</v>
      </c>
      <c r="I267" s="4" t="s">
        <v>1416</v>
      </c>
      <c r="J267" s="4" t="s">
        <v>55</v>
      </c>
      <c r="K267" s="8"/>
      <c r="L267" s="4">
        <v>1</v>
      </c>
      <c r="M267" s="8"/>
      <c r="N267" s="8"/>
      <c r="O267" s="8"/>
      <c r="P267" s="45">
        <v>43405</v>
      </c>
      <c r="Q267" s="45">
        <v>45657</v>
      </c>
      <c r="R267" s="49"/>
      <c r="S267" s="49"/>
      <c r="T267" s="49"/>
      <c r="U267" s="4" t="s">
        <v>96</v>
      </c>
      <c r="V267" s="171">
        <v>2050.04</v>
      </c>
      <c r="W267" s="171">
        <v>2120.13</v>
      </c>
      <c r="X267" s="171">
        <v>2122.31</v>
      </c>
      <c r="Y267" s="171">
        <v>2002.31</v>
      </c>
      <c r="Z267" s="171">
        <v>2002.31</v>
      </c>
      <c r="AA267" s="173">
        <v>2002.31</v>
      </c>
      <c r="AB267" s="175"/>
      <c r="AC267" s="183">
        <v>2120.13</v>
      </c>
      <c r="AD267" s="185">
        <v>2122.31</v>
      </c>
      <c r="AE267" s="185">
        <v>2002.31</v>
      </c>
      <c r="AF267" s="183">
        <v>2002.31</v>
      </c>
      <c r="AG267" s="178"/>
      <c r="AH267" s="179" t="s">
        <v>1418</v>
      </c>
      <c r="AI267" s="35"/>
    </row>
    <row r="268" spans="1:35" ht="114.75" customHeight="1">
      <c r="A268" s="8"/>
      <c r="B268" s="4" t="s">
        <v>1419</v>
      </c>
      <c r="C268" s="4" t="s">
        <v>1420</v>
      </c>
      <c r="D268" s="4" t="s">
        <v>711</v>
      </c>
      <c r="E268" s="169" t="s">
        <v>778</v>
      </c>
      <c r="F268" s="43" t="s">
        <v>335</v>
      </c>
      <c r="G268" s="8"/>
      <c r="H268" s="8"/>
      <c r="I268" s="8"/>
      <c r="J268" s="8"/>
      <c r="K268" s="8"/>
      <c r="L268" s="4">
        <v>1</v>
      </c>
      <c r="M268" s="8"/>
      <c r="N268" s="8"/>
      <c r="O268" s="8"/>
      <c r="P268" s="45">
        <v>43405</v>
      </c>
      <c r="Q268" s="45">
        <v>43830</v>
      </c>
      <c r="R268" s="49"/>
      <c r="S268" s="49"/>
      <c r="T268" s="49"/>
      <c r="U268" s="4" t="s">
        <v>90</v>
      </c>
      <c r="V268" s="189">
        <v>0</v>
      </c>
      <c r="W268" s="189">
        <v>0</v>
      </c>
      <c r="X268" s="189">
        <v>0</v>
      </c>
      <c r="Y268" s="189">
        <v>0</v>
      </c>
      <c r="Z268" s="189">
        <v>0</v>
      </c>
      <c r="AA268" s="189">
        <v>0</v>
      </c>
      <c r="AB268" s="175"/>
      <c r="AC268" s="183">
        <v>0</v>
      </c>
      <c r="AD268" s="185">
        <v>0</v>
      </c>
      <c r="AE268" s="185">
        <v>0</v>
      </c>
      <c r="AF268" s="183">
        <v>0</v>
      </c>
      <c r="AG268" s="178"/>
      <c r="AH268" s="190"/>
      <c r="AI268" s="35"/>
    </row>
    <row r="269" spans="1:35" ht="66.75" customHeight="1">
      <c r="A269" s="8"/>
      <c r="B269" s="4" t="s">
        <v>1421</v>
      </c>
      <c r="C269" s="4" t="s">
        <v>1422</v>
      </c>
      <c r="D269" s="4" t="s">
        <v>711</v>
      </c>
      <c r="E269" s="169" t="s">
        <v>778</v>
      </c>
      <c r="F269" s="43" t="s">
        <v>341</v>
      </c>
      <c r="G269" s="4">
        <v>2</v>
      </c>
      <c r="H269" s="9"/>
      <c r="I269" s="4"/>
      <c r="J269" s="8"/>
      <c r="K269" s="8"/>
      <c r="L269" s="4">
        <v>1</v>
      </c>
      <c r="M269" s="8"/>
      <c r="N269" s="8"/>
      <c r="O269" s="8"/>
      <c r="P269" s="45">
        <v>43405</v>
      </c>
      <c r="Q269" s="45">
        <v>45657</v>
      </c>
      <c r="R269" s="49"/>
      <c r="S269" s="49"/>
      <c r="T269" s="49"/>
      <c r="U269" s="4" t="s">
        <v>96</v>
      </c>
      <c r="V269" s="171">
        <v>50</v>
      </c>
      <c r="W269" s="171">
        <v>50</v>
      </c>
      <c r="X269" s="171">
        <v>50</v>
      </c>
      <c r="Y269" s="171">
        <v>50</v>
      </c>
      <c r="Z269" s="171">
        <v>50</v>
      </c>
      <c r="AA269" s="173">
        <v>50</v>
      </c>
      <c r="AB269" s="175"/>
      <c r="AC269" s="183">
        <v>50</v>
      </c>
      <c r="AD269" s="185">
        <v>50</v>
      </c>
      <c r="AE269" s="185">
        <v>50</v>
      </c>
      <c r="AF269" s="183">
        <v>50</v>
      </c>
      <c r="AG269" s="178"/>
      <c r="AH269" s="186" t="s">
        <v>1424</v>
      </c>
      <c r="AI269" s="35"/>
    </row>
    <row r="270" spans="1:35" ht="56.25" customHeight="1">
      <c r="A270" s="8"/>
      <c r="B270" s="4" t="s">
        <v>1425</v>
      </c>
      <c r="C270" s="4" t="s">
        <v>1426</v>
      </c>
      <c r="D270" s="4" t="s">
        <v>711</v>
      </c>
      <c r="E270" s="169" t="s">
        <v>778</v>
      </c>
      <c r="F270" s="43" t="s">
        <v>347</v>
      </c>
      <c r="G270" s="8"/>
      <c r="H270" s="8"/>
      <c r="I270" s="8"/>
      <c r="J270" s="4" t="s">
        <v>55</v>
      </c>
      <c r="K270" s="8"/>
      <c r="L270" s="4">
        <v>1</v>
      </c>
      <c r="M270" s="8"/>
      <c r="N270" s="8"/>
      <c r="O270" s="8"/>
      <c r="P270" s="45">
        <v>43405</v>
      </c>
      <c r="Q270" s="45">
        <v>45657</v>
      </c>
      <c r="R270" s="49"/>
      <c r="S270" s="49"/>
      <c r="T270" s="49"/>
      <c r="U270" s="4" t="s">
        <v>96</v>
      </c>
      <c r="V270" s="171">
        <v>3320</v>
      </c>
      <c r="W270" s="171">
        <v>3320</v>
      </c>
      <c r="X270" s="171">
        <v>5130</v>
      </c>
      <c r="Y270" s="171">
        <v>5130</v>
      </c>
      <c r="Z270" s="171">
        <v>5230</v>
      </c>
      <c r="AA270" s="173">
        <v>6700</v>
      </c>
      <c r="AB270" s="175"/>
      <c r="AC270" s="183">
        <v>3320</v>
      </c>
      <c r="AD270" s="185">
        <v>5130</v>
      </c>
      <c r="AE270" s="185">
        <v>5130</v>
      </c>
      <c r="AF270" s="183">
        <v>5230</v>
      </c>
      <c r="AG270" s="178"/>
      <c r="AH270" s="186" t="s">
        <v>1428</v>
      </c>
      <c r="AI270" s="35"/>
    </row>
    <row r="271" spans="1:35" ht="124.5" customHeight="1">
      <c r="A271" s="8"/>
      <c r="B271" s="4" t="s">
        <v>1429</v>
      </c>
      <c r="C271" s="4" t="s">
        <v>1430</v>
      </c>
      <c r="D271" s="4" t="s">
        <v>711</v>
      </c>
      <c r="E271" s="169" t="s">
        <v>778</v>
      </c>
      <c r="F271" s="43" t="s">
        <v>352</v>
      </c>
      <c r="G271" s="8"/>
      <c r="H271" s="188" t="s">
        <v>1397</v>
      </c>
      <c r="I271" s="4" t="s">
        <v>1416</v>
      </c>
      <c r="J271" s="4" t="s">
        <v>55</v>
      </c>
      <c r="K271" s="8"/>
      <c r="L271" s="4">
        <v>1</v>
      </c>
      <c r="M271" s="8"/>
      <c r="N271" s="8"/>
      <c r="O271" s="8"/>
      <c r="P271" s="45">
        <v>43405</v>
      </c>
      <c r="Q271" s="45">
        <v>45657</v>
      </c>
      <c r="R271" s="49"/>
      <c r="S271" s="49"/>
      <c r="T271" s="49"/>
      <c r="U271" s="4" t="s">
        <v>96</v>
      </c>
      <c r="V271" s="171">
        <v>116.96</v>
      </c>
      <c r="W271" s="171">
        <v>160</v>
      </c>
      <c r="X271" s="171">
        <v>160</v>
      </c>
      <c r="Y271" s="171">
        <v>180</v>
      </c>
      <c r="Z271" s="171">
        <v>180</v>
      </c>
      <c r="AA271" s="173">
        <v>200</v>
      </c>
      <c r="AB271" s="175"/>
      <c r="AC271" s="183">
        <v>160</v>
      </c>
      <c r="AD271" s="185">
        <v>160</v>
      </c>
      <c r="AE271" s="185">
        <v>180</v>
      </c>
      <c r="AF271" s="183">
        <v>180</v>
      </c>
      <c r="AG271" s="178"/>
      <c r="AH271" s="186" t="s">
        <v>1433</v>
      </c>
      <c r="AI271" s="35"/>
    </row>
    <row r="272" spans="1:35" ht="114" customHeight="1">
      <c r="A272" s="8"/>
      <c r="B272" s="4" t="s">
        <v>1434</v>
      </c>
      <c r="C272" s="4" t="s">
        <v>1435</v>
      </c>
      <c r="D272" s="4" t="s">
        <v>711</v>
      </c>
      <c r="E272" s="169" t="s">
        <v>778</v>
      </c>
      <c r="F272" s="43" t="s">
        <v>416</v>
      </c>
      <c r="G272" s="4">
        <v>2</v>
      </c>
      <c r="H272" s="8"/>
      <c r="I272" s="4" t="s">
        <v>1436</v>
      </c>
      <c r="J272" s="4" t="s">
        <v>55</v>
      </c>
      <c r="K272" s="8"/>
      <c r="L272" s="8"/>
      <c r="M272" s="8"/>
      <c r="N272" s="8"/>
      <c r="O272" s="8"/>
      <c r="P272" s="45">
        <v>43405</v>
      </c>
      <c r="Q272" s="45">
        <v>45657</v>
      </c>
      <c r="R272" s="49"/>
      <c r="S272" s="49"/>
      <c r="T272" s="49"/>
      <c r="U272" s="4" t="s">
        <v>96</v>
      </c>
      <c r="V272" s="171">
        <v>92</v>
      </c>
      <c r="W272" s="171">
        <v>105.96</v>
      </c>
      <c r="X272" s="171">
        <v>105.96</v>
      </c>
      <c r="Y272" s="171">
        <v>227.84</v>
      </c>
      <c r="Z272" s="171">
        <v>100</v>
      </c>
      <c r="AA272" s="173">
        <v>100</v>
      </c>
      <c r="AB272" s="175"/>
      <c r="AC272" s="183">
        <v>105.96</v>
      </c>
      <c r="AD272" s="185">
        <v>105.96</v>
      </c>
      <c r="AE272" s="185">
        <v>227.84</v>
      </c>
      <c r="AF272" s="183">
        <v>100</v>
      </c>
      <c r="AG272" s="178"/>
      <c r="AH272" s="186" t="s">
        <v>1438</v>
      </c>
      <c r="AI272" s="35"/>
    </row>
    <row r="273" spans="1:35" ht="63.75" customHeight="1">
      <c r="A273" s="8"/>
      <c r="B273" s="4" t="s">
        <v>1439</v>
      </c>
      <c r="C273" s="4" t="s">
        <v>1440</v>
      </c>
      <c r="D273" s="4" t="s">
        <v>711</v>
      </c>
      <c r="E273" s="169" t="s">
        <v>778</v>
      </c>
      <c r="F273" s="43" t="s">
        <v>420</v>
      </c>
      <c r="G273" s="8"/>
      <c r="H273" s="8"/>
      <c r="I273" s="8"/>
      <c r="J273" s="8"/>
      <c r="K273" s="8"/>
      <c r="L273" s="8"/>
      <c r="M273" s="8"/>
      <c r="N273" s="8"/>
      <c r="O273" s="8"/>
      <c r="P273" s="45">
        <v>43405</v>
      </c>
      <c r="Q273" s="45">
        <v>45657</v>
      </c>
      <c r="R273" s="49"/>
      <c r="S273" s="49"/>
      <c r="T273" s="49"/>
      <c r="U273" s="4" t="s">
        <v>96</v>
      </c>
      <c r="V273" s="171">
        <v>209.35</v>
      </c>
      <c r="W273" s="171">
        <v>421.08</v>
      </c>
      <c r="X273" s="171">
        <v>301.08999999999997</v>
      </c>
      <c r="Y273" s="171">
        <v>301.08999999999997</v>
      </c>
      <c r="Z273" s="171">
        <v>301.08999999999997</v>
      </c>
      <c r="AA273" s="173">
        <v>301.08999999999997</v>
      </c>
      <c r="AB273" s="175"/>
      <c r="AC273" s="183">
        <v>421.08</v>
      </c>
      <c r="AD273" s="185">
        <v>301.08999999999997</v>
      </c>
      <c r="AE273" s="185">
        <v>301.08999999999997</v>
      </c>
      <c r="AF273" s="183">
        <v>301.08999999999997</v>
      </c>
      <c r="AG273" s="178"/>
      <c r="AH273" s="186" t="s">
        <v>1443</v>
      </c>
      <c r="AI273" s="35"/>
    </row>
    <row r="274" spans="1:35" ht="39" customHeight="1">
      <c r="A274" s="8"/>
      <c r="B274" s="4" t="s">
        <v>1444</v>
      </c>
      <c r="C274" s="4" t="s">
        <v>1445</v>
      </c>
      <c r="D274" s="4" t="s">
        <v>711</v>
      </c>
      <c r="E274" s="169" t="s">
        <v>778</v>
      </c>
      <c r="F274" s="43" t="s">
        <v>425</v>
      </c>
      <c r="G274" s="4">
        <v>2</v>
      </c>
      <c r="H274" s="8"/>
      <c r="I274" s="4" t="s">
        <v>1446</v>
      </c>
      <c r="J274" s="4" t="s">
        <v>57</v>
      </c>
      <c r="K274" s="8"/>
      <c r="L274" s="8"/>
      <c r="M274" s="8"/>
      <c r="N274" s="8"/>
      <c r="O274" s="8"/>
      <c r="P274" s="45">
        <v>43405</v>
      </c>
      <c r="Q274" s="45">
        <v>45657</v>
      </c>
      <c r="R274" s="49"/>
      <c r="S274" s="49"/>
      <c r="T274" s="49"/>
      <c r="U274" s="4" t="s">
        <v>96</v>
      </c>
      <c r="V274" s="171">
        <v>223.04</v>
      </c>
      <c r="W274" s="171">
        <v>1180</v>
      </c>
      <c r="X274" s="171">
        <v>1180</v>
      </c>
      <c r="Y274" s="171">
        <v>1110</v>
      </c>
      <c r="Z274" s="171">
        <v>1110</v>
      </c>
      <c r="AA274" s="173">
        <v>1170</v>
      </c>
      <c r="AB274" s="175"/>
      <c r="AC274" s="183">
        <v>1180</v>
      </c>
      <c r="AD274" s="185">
        <v>1180</v>
      </c>
      <c r="AE274" s="185">
        <v>1110</v>
      </c>
      <c r="AF274" s="183">
        <v>1110</v>
      </c>
      <c r="AG274" s="178"/>
      <c r="AH274" s="186" t="s">
        <v>1447</v>
      </c>
      <c r="AI274" s="35"/>
    </row>
    <row r="275" spans="1:35" ht="51" customHeight="1">
      <c r="A275" s="8"/>
      <c r="B275" s="4" t="s">
        <v>1448</v>
      </c>
      <c r="C275" s="4" t="s">
        <v>1449</v>
      </c>
      <c r="D275" s="4" t="s">
        <v>711</v>
      </c>
      <c r="E275" s="169" t="s">
        <v>778</v>
      </c>
      <c r="F275" s="43" t="s">
        <v>428</v>
      </c>
      <c r="G275" s="4">
        <v>2</v>
      </c>
      <c r="H275" s="4" t="s">
        <v>1397</v>
      </c>
      <c r="I275" s="4" t="s">
        <v>1416</v>
      </c>
      <c r="J275" s="4" t="s">
        <v>55</v>
      </c>
      <c r="K275" s="8"/>
      <c r="L275" s="8"/>
      <c r="M275" s="8"/>
      <c r="N275" s="8"/>
      <c r="O275" s="8"/>
      <c r="P275" s="45">
        <v>43405</v>
      </c>
      <c r="Q275" s="45">
        <v>45657</v>
      </c>
      <c r="R275" s="49"/>
      <c r="S275" s="49"/>
      <c r="T275" s="49"/>
      <c r="U275" s="4" t="s">
        <v>90</v>
      </c>
      <c r="V275" s="171">
        <v>220</v>
      </c>
      <c r="W275" s="171">
        <v>211.5</v>
      </c>
      <c r="X275" s="171">
        <v>211.5</v>
      </c>
      <c r="Y275" s="171">
        <v>83.66</v>
      </c>
      <c r="Z275" s="171">
        <v>211.5</v>
      </c>
      <c r="AA275" s="173">
        <v>211.5</v>
      </c>
      <c r="AB275" s="175"/>
      <c r="AC275" s="183">
        <v>211.5</v>
      </c>
      <c r="AD275" s="185">
        <v>211.5</v>
      </c>
      <c r="AE275" s="185">
        <v>83.66</v>
      </c>
      <c r="AF275" s="183">
        <v>211.5</v>
      </c>
      <c r="AG275" s="178"/>
      <c r="AH275" s="186" t="s">
        <v>1450</v>
      </c>
      <c r="AI275" s="35"/>
    </row>
    <row r="276" spans="1:35" ht="84" customHeight="1">
      <c r="A276" s="8"/>
      <c r="B276" s="4" t="s">
        <v>1451</v>
      </c>
      <c r="C276" s="4" t="s">
        <v>1452</v>
      </c>
      <c r="D276" s="4" t="s">
        <v>711</v>
      </c>
      <c r="E276" s="169" t="s">
        <v>778</v>
      </c>
      <c r="F276" s="43" t="s">
        <v>431</v>
      </c>
      <c r="G276" s="8"/>
      <c r="H276" s="8"/>
      <c r="I276" s="8"/>
      <c r="J276" s="8"/>
      <c r="K276" s="8"/>
      <c r="L276" s="8"/>
      <c r="M276" s="8"/>
      <c r="N276" s="8"/>
      <c r="O276" s="8"/>
      <c r="P276" s="45">
        <v>43405</v>
      </c>
      <c r="Q276" s="45">
        <v>44196</v>
      </c>
      <c r="R276" s="49"/>
      <c r="S276" s="49"/>
      <c r="T276" s="49"/>
      <c r="U276" s="4" t="s">
        <v>90</v>
      </c>
      <c r="V276" s="189">
        <v>0</v>
      </c>
      <c r="W276" s="189">
        <v>0</v>
      </c>
      <c r="X276" s="189">
        <v>0</v>
      </c>
      <c r="Y276" s="189">
        <v>0</v>
      </c>
      <c r="Z276" s="189">
        <v>0</v>
      </c>
      <c r="AA276" s="189">
        <v>0</v>
      </c>
      <c r="AB276" s="175"/>
      <c r="AC276" s="183">
        <v>0</v>
      </c>
      <c r="AD276" s="185">
        <v>0</v>
      </c>
      <c r="AE276" s="185">
        <v>0</v>
      </c>
      <c r="AF276" s="183">
        <v>0</v>
      </c>
      <c r="AG276" s="178"/>
      <c r="AH276" s="191"/>
      <c r="AI276" s="35"/>
    </row>
    <row r="277" spans="1:35" ht="63.75" customHeight="1">
      <c r="A277" s="8"/>
      <c r="B277" s="4" t="s">
        <v>1454</v>
      </c>
      <c r="C277" s="4" t="s">
        <v>1455</v>
      </c>
      <c r="D277" s="4" t="s">
        <v>711</v>
      </c>
      <c r="E277" s="169" t="s">
        <v>778</v>
      </c>
      <c r="F277" s="43" t="s">
        <v>434</v>
      </c>
      <c r="G277" s="8"/>
      <c r="H277" s="8"/>
      <c r="I277" s="8"/>
      <c r="J277" s="8"/>
      <c r="K277" s="8"/>
      <c r="L277" s="8"/>
      <c r="M277" s="8"/>
      <c r="N277" s="8"/>
      <c r="O277" s="8"/>
      <c r="P277" s="45">
        <v>43405</v>
      </c>
      <c r="Q277" s="45">
        <v>45657</v>
      </c>
      <c r="R277" s="49"/>
      <c r="S277" s="49"/>
      <c r="T277" s="49"/>
      <c r="U277" s="4" t="s">
        <v>96</v>
      </c>
      <c r="V277" s="189">
        <v>0</v>
      </c>
      <c r="W277" s="189">
        <v>0</v>
      </c>
      <c r="X277" s="189">
        <v>0</v>
      </c>
      <c r="Y277" s="189">
        <v>0</v>
      </c>
      <c r="Z277" s="189">
        <v>0</v>
      </c>
      <c r="AA277" s="189">
        <v>0</v>
      </c>
      <c r="AB277" s="175"/>
      <c r="AC277" s="183">
        <v>0</v>
      </c>
      <c r="AD277" s="185">
        <v>0</v>
      </c>
      <c r="AE277" s="185">
        <v>0</v>
      </c>
      <c r="AF277" s="183">
        <v>0</v>
      </c>
      <c r="AG277" s="178"/>
      <c r="AH277" s="191"/>
      <c r="AI277" s="35"/>
    </row>
    <row r="278" spans="1:35" ht="87.75" customHeight="1">
      <c r="A278" s="8"/>
      <c r="B278" s="4" t="s">
        <v>1457</v>
      </c>
      <c r="C278" s="4" t="s">
        <v>1458</v>
      </c>
      <c r="D278" s="4" t="s">
        <v>711</v>
      </c>
      <c r="E278" s="169" t="s">
        <v>778</v>
      </c>
      <c r="F278" s="43" t="s">
        <v>437</v>
      </c>
      <c r="G278" s="8"/>
      <c r="H278" s="8"/>
      <c r="I278" s="8"/>
      <c r="J278" s="8"/>
      <c r="K278" s="8"/>
      <c r="L278" s="8"/>
      <c r="M278" s="8"/>
      <c r="N278" s="8"/>
      <c r="O278" s="8"/>
      <c r="P278" s="45">
        <v>43405</v>
      </c>
      <c r="Q278" s="45">
        <v>45657</v>
      </c>
      <c r="R278" s="49"/>
      <c r="S278" s="49"/>
      <c r="T278" s="49"/>
      <c r="U278" s="4" t="s">
        <v>90</v>
      </c>
      <c r="V278" s="171">
        <v>66.44</v>
      </c>
      <c r="W278" s="171">
        <v>83.56</v>
      </c>
      <c r="X278" s="171">
        <v>80</v>
      </c>
      <c r="Y278" s="171">
        <v>80</v>
      </c>
      <c r="Z278" s="171">
        <v>45.96</v>
      </c>
      <c r="AA278" s="173">
        <v>45.96</v>
      </c>
      <c r="AB278" s="175"/>
      <c r="AC278" s="183">
        <v>83.56</v>
      </c>
      <c r="AD278" s="185">
        <v>80</v>
      </c>
      <c r="AE278" s="185">
        <v>80</v>
      </c>
      <c r="AF278" s="183">
        <v>45.96</v>
      </c>
      <c r="AG278" s="178"/>
      <c r="AH278" s="186" t="s">
        <v>1459</v>
      </c>
      <c r="AI278" s="35"/>
    </row>
    <row r="279" spans="1:35" ht="36.75" customHeight="1">
      <c r="A279" s="8"/>
      <c r="B279" s="4" t="s">
        <v>1460</v>
      </c>
      <c r="C279" s="4" t="s">
        <v>1461</v>
      </c>
      <c r="D279" s="4" t="s">
        <v>711</v>
      </c>
      <c r="E279" s="169" t="s">
        <v>778</v>
      </c>
      <c r="F279" s="43" t="s">
        <v>442</v>
      </c>
      <c r="G279" s="8"/>
      <c r="H279" s="8"/>
      <c r="I279" s="8"/>
      <c r="J279" s="8"/>
      <c r="K279" s="8"/>
      <c r="L279" s="8"/>
      <c r="M279" s="8"/>
      <c r="N279" s="8"/>
      <c r="O279" s="8"/>
      <c r="P279" s="45">
        <v>43405</v>
      </c>
      <c r="Q279" s="45">
        <v>43830</v>
      </c>
      <c r="R279" s="49"/>
      <c r="S279" s="49"/>
      <c r="T279" s="49"/>
      <c r="U279" s="4" t="s">
        <v>90</v>
      </c>
      <c r="V279" s="189">
        <v>0</v>
      </c>
      <c r="W279" s="189">
        <v>0</v>
      </c>
      <c r="X279" s="189">
        <v>0</v>
      </c>
      <c r="Y279" s="189">
        <v>0</v>
      </c>
      <c r="Z279" s="189">
        <v>0</v>
      </c>
      <c r="AA279" s="189">
        <v>0</v>
      </c>
      <c r="AB279" s="175"/>
      <c r="AC279" s="183">
        <v>0</v>
      </c>
      <c r="AD279" s="185">
        <v>0</v>
      </c>
      <c r="AE279" s="185">
        <v>0</v>
      </c>
      <c r="AF279" s="183">
        <v>0</v>
      </c>
      <c r="AG279" s="178"/>
      <c r="AH279" s="34"/>
      <c r="AI279" s="35"/>
    </row>
    <row r="280" spans="1:35" ht="14">
      <c r="A280" s="84"/>
      <c r="B280" s="192" t="s">
        <v>1463</v>
      </c>
      <c r="C280" s="84"/>
      <c r="D280" s="84"/>
      <c r="E280" s="84"/>
      <c r="F280" s="193"/>
      <c r="G280" s="84"/>
      <c r="H280" s="84"/>
      <c r="I280" s="84"/>
      <c r="J280" s="84"/>
      <c r="K280" s="84"/>
      <c r="L280" s="84"/>
      <c r="M280" s="84"/>
      <c r="N280" s="84"/>
      <c r="O280" s="84"/>
      <c r="P280" s="85"/>
      <c r="Q280" s="85"/>
      <c r="R280" s="86"/>
      <c r="S280" s="86"/>
      <c r="T280" s="86"/>
      <c r="U280" s="84"/>
      <c r="V280" s="84"/>
      <c r="W280" s="84"/>
      <c r="X280" s="84"/>
      <c r="Y280" s="84"/>
      <c r="Z280" s="84"/>
      <c r="AA280" s="194"/>
      <c r="AB280" s="195"/>
      <c r="AC280" s="84"/>
      <c r="AD280" s="84"/>
      <c r="AE280" s="84"/>
      <c r="AF280" s="84"/>
      <c r="AG280" s="196"/>
      <c r="AH280" s="34"/>
      <c r="AI280" s="35"/>
    </row>
    <row r="281" spans="1:35" ht="13">
      <c r="A281" s="8"/>
      <c r="B281" s="8"/>
      <c r="C281" s="8"/>
      <c r="D281" s="8"/>
      <c r="E281" s="8"/>
      <c r="F281" s="87"/>
      <c r="G281" s="8"/>
      <c r="H281" s="8"/>
      <c r="I281" s="8"/>
      <c r="J281" s="8"/>
      <c r="K281" s="8"/>
      <c r="L281" s="8"/>
      <c r="M281" s="8"/>
      <c r="N281" s="8"/>
      <c r="O281" s="8"/>
      <c r="P281" s="88"/>
      <c r="Q281" s="88"/>
      <c r="R281" s="49"/>
      <c r="S281" s="49"/>
      <c r="T281" s="49"/>
      <c r="U281" s="8"/>
      <c r="V281" s="8"/>
      <c r="W281" s="8"/>
      <c r="X281" s="8"/>
      <c r="Y281" s="8"/>
      <c r="Z281" s="8"/>
      <c r="AA281" s="31"/>
      <c r="AB281" s="32"/>
      <c r="AC281" s="8"/>
      <c r="AD281" s="8"/>
      <c r="AE281" s="8"/>
      <c r="AF281" s="8"/>
      <c r="AG281" s="33"/>
      <c r="AH281" s="34"/>
      <c r="AI281" s="35"/>
    </row>
    <row r="282" spans="1:35" ht="14">
      <c r="A282" s="84"/>
      <c r="B282" s="192" t="s">
        <v>1468</v>
      </c>
      <c r="C282" s="84"/>
      <c r="D282" s="84"/>
      <c r="E282" s="84"/>
      <c r="F282" s="193"/>
      <c r="G282" s="84"/>
      <c r="H282" s="84"/>
      <c r="I282" s="84"/>
      <c r="J282" s="84"/>
      <c r="K282" s="84"/>
      <c r="L282" s="84"/>
      <c r="M282" s="84"/>
      <c r="N282" s="84"/>
      <c r="O282" s="84"/>
      <c r="P282" s="85"/>
      <c r="Q282" s="85"/>
      <c r="R282" s="86"/>
      <c r="S282" s="86"/>
      <c r="T282" s="86"/>
      <c r="U282" s="84"/>
      <c r="V282" s="84"/>
      <c r="W282" s="84"/>
      <c r="X282" s="84"/>
      <c r="Y282" s="84"/>
      <c r="Z282" s="84"/>
      <c r="AA282" s="194"/>
      <c r="AB282" s="195"/>
      <c r="AC282" s="84"/>
      <c r="AD282" s="84"/>
      <c r="AE282" s="84"/>
      <c r="AF282" s="84"/>
      <c r="AG282" s="196"/>
      <c r="AH282" s="34"/>
      <c r="AI282" s="35"/>
    </row>
    <row r="283" spans="1:35" ht="47.25" customHeight="1">
      <c r="A283" s="4">
        <v>1</v>
      </c>
      <c r="B283" s="197" t="s">
        <v>1469</v>
      </c>
      <c r="C283" s="188" t="s">
        <v>1470</v>
      </c>
      <c r="D283" s="4" t="s">
        <v>711</v>
      </c>
      <c r="E283" s="4" t="s">
        <v>786</v>
      </c>
      <c r="F283" s="43" t="s">
        <v>290</v>
      </c>
      <c r="G283" s="8"/>
      <c r="H283" s="8"/>
      <c r="I283" s="8"/>
      <c r="J283" s="4" t="s">
        <v>71</v>
      </c>
      <c r="K283" s="8"/>
      <c r="L283" s="4">
        <v>1</v>
      </c>
      <c r="M283" s="4">
        <v>0</v>
      </c>
      <c r="N283" s="4">
        <v>0</v>
      </c>
      <c r="O283" s="4" t="s">
        <v>1471</v>
      </c>
      <c r="P283" s="45">
        <v>43405</v>
      </c>
      <c r="Q283" s="45">
        <v>43855</v>
      </c>
      <c r="R283" s="49"/>
      <c r="S283" s="49"/>
      <c r="T283" s="49"/>
      <c r="U283" s="4" t="s">
        <v>96</v>
      </c>
      <c r="V283" s="8"/>
      <c r="W283" s="8"/>
      <c r="X283" s="8"/>
      <c r="Y283" s="8"/>
      <c r="Z283" s="8"/>
      <c r="AA283" s="31"/>
      <c r="AB283" s="32"/>
      <c r="AC283" s="8"/>
      <c r="AD283" s="8"/>
      <c r="AE283" s="8"/>
      <c r="AF283" s="8"/>
      <c r="AG283" s="33"/>
      <c r="AH283" s="34"/>
      <c r="AI283" s="35"/>
    </row>
    <row r="284" spans="1:35" ht="69.75" customHeight="1">
      <c r="A284" s="4">
        <v>2</v>
      </c>
      <c r="B284" s="197" t="s">
        <v>1473</v>
      </c>
      <c r="C284" s="188" t="s">
        <v>1474</v>
      </c>
      <c r="D284" s="4" t="s">
        <v>711</v>
      </c>
      <c r="E284" s="4" t="s">
        <v>786</v>
      </c>
      <c r="F284" s="43" t="s">
        <v>309</v>
      </c>
      <c r="G284" s="8"/>
      <c r="H284" s="8"/>
      <c r="I284" s="8"/>
      <c r="J284" s="4" t="s">
        <v>71</v>
      </c>
      <c r="K284" s="8"/>
      <c r="L284" s="4">
        <v>1</v>
      </c>
      <c r="M284" s="4">
        <v>0</v>
      </c>
      <c r="N284" s="4">
        <v>0</v>
      </c>
      <c r="O284" s="4" t="s">
        <v>1475</v>
      </c>
      <c r="P284" s="45">
        <v>43405</v>
      </c>
      <c r="Q284" s="45">
        <v>45657</v>
      </c>
      <c r="R284" s="49"/>
      <c r="S284" s="49"/>
      <c r="T284" s="49"/>
      <c r="U284" s="8"/>
      <c r="V284" s="8"/>
      <c r="W284" s="8"/>
      <c r="X284" s="8"/>
      <c r="Y284" s="8"/>
      <c r="Z284" s="8"/>
      <c r="AA284" s="31"/>
      <c r="AB284" s="32"/>
      <c r="AC284" s="8"/>
      <c r="AD284" s="8"/>
      <c r="AE284" s="8"/>
      <c r="AF284" s="8"/>
      <c r="AG284" s="33"/>
      <c r="AH284" s="34"/>
      <c r="AI284" s="35"/>
    </row>
    <row r="285" spans="1:35" ht="52.5" customHeight="1">
      <c r="A285" s="4">
        <v>3</v>
      </c>
      <c r="B285" s="197" t="s">
        <v>1476</v>
      </c>
      <c r="C285" s="188" t="s">
        <v>1477</v>
      </c>
      <c r="D285" s="4" t="s">
        <v>711</v>
      </c>
      <c r="E285" s="4" t="s">
        <v>786</v>
      </c>
      <c r="F285" s="43" t="s">
        <v>317</v>
      </c>
      <c r="G285" s="8"/>
      <c r="H285" s="8"/>
      <c r="I285" s="8"/>
      <c r="J285" s="4" t="s">
        <v>735</v>
      </c>
      <c r="K285" s="4" t="s">
        <v>1478</v>
      </c>
      <c r="L285" s="4">
        <v>1</v>
      </c>
      <c r="M285" s="4">
        <v>1</v>
      </c>
      <c r="N285" s="4">
        <v>1</v>
      </c>
      <c r="O285" s="4" t="s">
        <v>1479</v>
      </c>
      <c r="P285" s="45">
        <v>43405</v>
      </c>
      <c r="Q285" s="45">
        <v>45657</v>
      </c>
      <c r="R285" s="49"/>
      <c r="S285" s="49"/>
      <c r="T285" s="49"/>
      <c r="U285" s="8"/>
      <c r="V285" s="8"/>
      <c r="W285" s="8"/>
      <c r="X285" s="8"/>
      <c r="Y285" s="8"/>
      <c r="Z285" s="8"/>
      <c r="AA285" s="31"/>
      <c r="AB285" s="32"/>
      <c r="AC285" s="8"/>
      <c r="AD285" s="8"/>
      <c r="AE285" s="8"/>
      <c r="AF285" s="8"/>
      <c r="AG285" s="33"/>
      <c r="AH285" s="34"/>
      <c r="AI285" s="35"/>
    </row>
    <row r="286" spans="1:35" ht="46.5" customHeight="1">
      <c r="A286" s="4">
        <v>4</v>
      </c>
      <c r="B286" s="197" t="s">
        <v>1480</v>
      </c>
      <c r="C286" s="188" t="s">
        <v>1481</v>
      </c>
      <c r="D286" s="4" t="s">
        <v>711</v>
      </c>
      <c r="E286" s="4" t="s">
        <v>786</v>
      </c>
      <c r="F286" s="43" t="s">
        <v>322</v>
      </c>
      <c r="G286" s="8"/>
      <c r="H286" s="8"/>
      <c r="I286" s="8"/>
      <c r="J286" s="4" t="s">
        <v>735</v>
      </c>
      <c r="K286" s="4" t="s">
        <v>1478</v>
      </c>
      <c r="L286" s="4">
        <v>1</v>
      </c>
      <c r="M286" s="4">
        <v>1</v>
      </c>
      <c r="N286" s="4">
        <v>1</v>
      </c>
      <c r="O286" s="4" t="s">
        <v>1479</v>
      </c>
      <c r="P286" s="45">
        <v>43405</v>
      </c>
      <c r="Q286" s="45">
        <v>45657</v>
      </c>
      <c r="R286" s="49"/>
      <c r="S286" s="49"/>
      <c r="T286" s="49"/>
      <c r="U286" s="8"/>
      <c r="V286" s="8"/>
      <c r="W286" s="8"/>
      <c r="X286" s="8"/>
      <c r="Y286" s="8"/>
      <c r="Z286" s="8"/>
      <c r="AA286" s="31"/>
      <c r="AB286" s="32"/>
      <c r="AC286" s="8"/>
      <c r="AD286" s="8"/>
      <c r="AE286" s="8"/>
      <c r="AF286" s="8"/>
      <c r="AG286" s="33"/>
      <c r="AH286" s="34"/>
      <c r="AI286" s="35"/>
    </row>
    <row r="287" spans="1:35" ht="90" customHeight="1">
      <c r="A287" s="4">
        <v>5</v>
      </c>
      <c r="B287" s="197" t="s">
        <v>1484</v>
      </c>
      <c r="C287" s="188" t="s">
        <v>1485</v>
      </c>
      <c r="D287" s="4" t="s">
        <v>711</v>
      </c>
      <c r="E287" s="4" t="s">
        <v>786</v>
      </c>
      <c r="F287" s="43" t="s">
        <v>329</v>
      </c>
      <c r="G287" s="8"/>
      <c r="H287" s="8"/>
      <c r="I287" s="8"/>
      <c r="J287" s="4" t="s">
        <v>735</v>
      </c>
      <c r="K287" s="4" t="s">
        <v>1478</v>
      </c>
      <c r="L287" s="4">
        <v>1</v>
      </c>
      <c r="M287" s="4">
        <v>1</v>
      </c>
      <c r="N287" s="4">
        <v>1</v>
      </c>
      <c r="O287" s="4" t="s">
        <v>1479</v>
      </c>
      <c r="P287" s="45">
        <v>43405</v>
      </c>
      <c r="Q287" s="45">
        <v>44561</v>
      </c>
      <c r="R287" s="49"/>
      <c r="S287" s="49"/>
      <c r="T287" s="49"/>
      <c r="U287" s="8"/>
      <c r="V287" s="8"/>
      <c r="W287" s="8"/>
      <c r="X287" s="8"/>
      <c r="Y287" s="8"/>
      <c r="Z287" s="8"/>
      <c r="AA287" s="31"/>
      <c r="AB287" s="32"/>
      <c r="AC287" s="8"/>
      <c r="AD287" s="8"/>
      <c r="AE287" s="8"/>
      <c r="AF287" s="8"/>
      <c r="AG287" s="33"/>
      <c r="AH287" s="34"/>
      <c r="AI287" s="35"/>
    </row>
    <row r="288" spans="1:35" ht="117.75" customHeight="1">
      <c r="A288" s="4">
        <v>6</v>
      </c>
      <c r="B288" s="197" t="s">
        <v>1486</v>
      </c>
      <c r="C288" s="188" t="s">
        <v>1487</v>
      </c>
      <c r="D288" s="4" t="s">
        <v>711</v>
      </c>
      <c r="E288" s="4" t="s">
        <v>786</v>
      </c>
      <c r="F288" s="43" t="s">
        <v>335</v>
      </c>
      <c r="G288" s="8"/>
      <c r="H288" s="8"/>
      <c r="I288" s="8"/>
      <c r="J288" s="4" t="s">
        <v>735</v>
      </c>
      <c r="K288" s="4" t="s">
        <v>1478</v>
      </c>
      <c r="L288" s="4">
        <v>1</v>
      </c>
      <c r="M288" s="4">
        <v>1</v>
      </c>
      <c r="N288" s="4">
        <v>1</v>
      </c>
      <c r="O288" s="4" t="s">
        <v>1479</v>
      </c>
      <c r="P288" s="45">
        <v>43405</v>
      </c>
      <c r="Q288" s="45">
        <v>43830</v>
      </c>
      <c r="R288" s="49"/>
      <c r="S288" s="49"/>
      <c r="T288" s="49"/>
      <c r="U288" s="8"/>
      <c r="V288" s="8"/>
      <c r="W288" s="8"/>
      <c r="X288" s="8"/>
      <c r="Y288" s="8"/>
      <c r="Z288" s="8"/>
      <c r="AA288" s="31"/>
      <c r="AB288" s="32"/>
      <c r="AC288" s="8"/>
      <c r="AD288" s="8"/>
      <c r="AE288" s="8"/>
      <c r="AF288" s="8"/>
      <c r="AG288" s="33"/>
      <c r="AH288" s="34"/>
      <c r="AI288" s="35"/>
    </row>
    <row r="289" spans="1:35" ht="91.5" customHeight="1">
      <c r="A289" s="4">
        <v>7</v>
      </c>
      <c r="B289" s="197" t="s">
        <v>1488</v>
      </c>
      <c r="C289" s="188" t="s">
        <v>1489</v>
      </c>
      <c r="D289" s="4" t="s">
        <v>711</v>
      </c>
      <c r="E289" s="4" t="s">
        <v>786</v>
      </c>
      <c r="F289" s="43" t="s">
        <v>341</v>
      </c>
      <c r="G289" s="8"/>
      <c r="H289" s="8"/>
      <c r="I289" s="8"/>
      <c r="J289" s="4" t="s">
        <v>735</v>
      </c>
      <c r="K289" s="4" t="s">
        <v>1478</v>
      </c>
      <c r="L289" s="4">
        <v>1</v>
      </c>
      <c r="M289" s="4">
        <v>1</v>
      </c>
      <c r="N289" s="4">
        <v>1</v>
      </c>
      <c r="O289" s="4" t="s">
        <v>1479</v>
      </c>
      <c r="P289" s="45">
        <v>43405</v>
      </c>
      <c r="Q289" s="45">
        <v>45474</v>
      </c>
      <c r="R289" s="49"/>
      <c r="S289" s="49"/>
      <c r="T289" s="49"/>
      <c r="U289" s="8"/>
      <c r="V289" s="8"/>
      <c r="W289" s="8"/>
      <c r="X289" s="8"/>
      <c r="Y289" s="8"/>
      <c r="Z289" s="8"/>
      <c r="AA289" s="31"/>
      <c r="AB289" s="32"/>
      <c r="AC289" s="8"/>
      <c r="AD289" s="8"/>
      <c r="AE289" s="8"/>
      <c r="AF289" s="8"/>
      <c r="AG289" s="33"/>
      <c r="AH289" s="34"/>
      <c r="AI289" s="35"/>
    </row>
    <row r="290" spans="1:35" ht="58.5" customHeight="1">
      <c r="A290" s="4">
        <v>8</v>
      </c>
      <c r="B290" s="197" t="s">
        <v>1493</v>
      </c>
      <c r="C290" s="188" t="s">
        <v>1494</v>
      </c>
      <c r="D290" s="4" t="s">
        <v>711</v>
      </c>
      <c r="E290" s="4" t="s">
        <v>786</v>
      </c>
      <c r="F290" s="43" t="s">
        <v>347</v>
      </c>
      <c r="G290" s="8"/>
      <c r="H290" s="8"/>
      <c r="I290" s="8"/>
      <c r="J290" s="4" t="s">
        <v>735</v>
      </c>
      <c r="K290" s="4" t="s">
        <v>1478</v>
      </c>
      <c r="L290" s="4">
        <v>1</v>
      </c>
      <c r="M290" s="4">
        <v>1</v>
      </c>
      <c r="N290" s="4">
        <v>1</v>
      </c>
      <c r="O290" s="4" t="s">
        <v>1479</v>
      </c>
      <c r="P290" s="45">
        <v>43405</v>
      </c>
      <c r="Q290" s="45">
        <v>45656</v>
      </c>
      <c r="R290" s="49"/>
      <c r="S290" s="49"/>
      <c r="T290" s="49"/>
      <c r="U290" s="8"/>
      <c r="V290" s="8"/>
      <c r="W290" s="8"/>
      <c r="X290" s="8"/>
      <c r="Y290" s="8"/>
      <c r="Z290" s="8"/>
      <c r="AA290" s="31"/>
      <c r="AB290" s="32"/>
      <c r="AC290" s="8"/>
      <c r="AD290" s="8"/>
      <c r="AE290" s="8"/>
      <c r="AF290" s="8"/>
      <c r="AG290" s="33"/>
      <c r="AH290" s="34"/>
      <c r="AI290" s="35"/>
    </row>
    <row r="291" spans="1:35" ht="75" customHeight="1">
      <c r="A291" s="4">
        <v>9</v>
      </c>
      <c r="B291" s="197" t="s">
        <v>1495</v>
      </c>
      <c r="C291" s="188" t="s">
        <v>1496</v>
      </c>
      <c r="D291" s="4" t="s">
        <v>711</v>
      </c>
      <c r="E291" s="4" t="s">
        <v>786</v>
      </c>
      <c r="F291" s="43" t="s">
        <v>352</v>
      </c>
      <c r="G291" s="8"/>
      <c r="H291" s="8"/>
      <c r="I291" s="8"/>
      <c r="J291" s="4" t="s">
        <v>55</v>
      </c>
      <c r="K291" s="4" t="s">
        <v>1478</v>
      </c>
      <c r="L291" s="4">
        <v>1</v>
      </c>
      <c r="M291" s="4">
        <v>1</v>
      </c>
      <c r="N291" s="4">
        <v>1</v>
      </c>
      <c r="O291" s="4" t="s">
        <v>1479</v>
      </c>
      <c r="P291" s="45">
        <v>43405</v>
      </c>
      <c r="Q291" s="45">
        <v>45657</v>
      </c>
      <c r="R291" s="49"/>
      <c r="S291" s="49"/>
      <c r="T291" s="49"/>
      <c r="U291" s="8"/>
      <c r="V291" s="8"/>
      <c r="W291" s="8"/>
      <c r="X291" s="8"/>
      <c r="Y291" s="8"/>
      <c r="Z291" s="8"/>
      <c r="AA291" s="31"/>
      <c r="AB291" s="32"/>
      <c r="AC291" s="8"/>
      <c r="AD291" s="8"/>
      <c r="AE291" s="8"/>
      <c r="AF291" s="8"/>
      <c r="AG291" s="33"/>
      <c r="AH291" s="34"/>
      <c r="AI291" s="35"/>
    </row>
    <row r="292" spans="1:35" ht="73.5" customHeight="1">
      <c r="A292" s="4">
        <v>10</v>
      </c>
      <c r="B292" s="197" t="s">
        <v>1497</v>
      </c>
      <c r="C292" s="188" t="s">
        <v>1498</v>
      </c>
      <c r="D292" s="4" t="s">
        <v>711</v>
      </c>
      <c r="E292" s="4" t="s">
        <v>786</v>
      </c>
      <c r="F292" s="43" t="s">
        <v>416</v>
      </c>
      <c r="G292" s="8"/>
      <c r="H292" s="8"/>
      <c r="I292" s="8"/>
      <c r="J292" s="4" t="s">
        <v>735</v>
      </c>
      <c r="K292" s="4" t="s">
        <v>1478</v>
      </c>
      <c r="L292" s="4">
        <v>1</v>
      </c>
      <c r="M292" s="4">
        <v>1</v>
      </c>
      <c r="N292" s="4">
        <v>1</v>
      </c>
      <c r="O292" s="4" t="s">
        <v>1479</v>
      </c>
      <c r="P292" s="45">
        <v>43405</v>
      </c>
      <c r="Q292" s="45">
        <v>45657</v>
      </c>
      <c r="R292" s="49"/>
      <c r="S292" s="49"/>
      <c r="T292" s="49"/>
      <c r="U292" s="8"/>
      <c r="V292" s="8"/>
      <c r="W292" s="8"/>
      <c r="X292" s="8"/>
      <c r="Y292" s="8"/>
      <c r="Z292" s="8"/>
      <c r="AA292" s="31"/>
      <c r="AB292" s="32"/>
      <c r="AC292" s="8"/>
      <c r="AD292" s="8"/>
      <c r="AE292" s="8"/>
      <c r="AF292" s="8"/>
      <c r="AG292" s="33"/>
      <c r="AH292" s="34"/>
      <c r="AI292" s="35"/>
    </row>
    <row r="293" spans="1:35" ht="84" customHeight="1">
      <c r="A293" s="4">
        <v>11</v>
      </c>
      <c r="B293" s="197" t="s">
        <v>1501</v>
      </c>
      <c r="C293" s="188" t="s">
        <v>1502</v>
      </c>
      <c r="D293" s="4" t="s">
        <v>711</v>
      </c>
      <c r="E293" s="4" t="s">
        <v>786</v>
      </c>
      <c r="F293" s="43" t="s">
        <v>420</v>
      </c>
      <c r="G293" s="8"/>
      <c r="H293" s="8"/>
      <c r="I293" s="8"/>
      <c r="J293" s="4" t="s">
        <v>735</v>
      </c>
      <c r="K293" s="4" t="s">
        <v>1478</v>
      </c>
      <c r="L293" s="4">
        <v>1</v>
      </c>
      <c r="M293" s="4">
        <v>1</v>
      </c>
      <c r="N293" s="4">
        <v>1</v>
      </c>
      <c r="O293" s="4" t="s">
        <v>1479</v>
      </c>
      <c r="P293" s="45">
        <v>43405</v>
      </c>
      <c r="Q293" s="45">
        <v>45657</v>
      </c>
      <c r="R293" s="49"/>
      <c r="S293" s="49"/>
      <c r="T293" s="49"/>
      <c r="U293" s="8"/>
      <c r="V293" s="8"/>
      <c r="W293" s="8"/>
      <c r="X293" s="8"/>
      <c r="Y293" s="8"/>
      <c r="Z293" s="8"/>
      <c r="AA293" s="31"/>
      <c r="AB293" s="32"/>
      <c r="AC293" s="8"/>
      <c r="AD293" s="8"/>
      <c r="AE293" s="8"/>
      <c r="AF293" s="8"/>
      <c r="AG293" s="33"/>
      <c r="AH293" s="34"/>
      <c r="AI293" s="35"/>
    </row>
    <row r="294" spans="1:35" ht="70.5" customHeight="1">
      <c r="A294" s="4">
        <v>12</v>
      </c>
      <c r="B294" s="197" t="s">
        <v>1503</v>
      </c>
      <c r="C294" s="188" t="s">
        <v>1504</v>
      </c>
      <c r="D294" s="4" t="s">
        <v>711</v>
      </c>
      <c r="E294" s="4" t="s">
        <v>786</v>
      </c>
      <c r="F294" s="43" t="s">
        <v>425</v>
      </c>
      <c r="G294" s="8"/>
      <c r="H294" s="8"/>
      <c r="I294" s="8"/>
      <c r="J294" s="4" t="s">
        <v>71</v>
      </c>
      <c r="K294" s="4"/>
      <c r="L294" s="4">
        <v>1</v>
      </c>
      <c r="M294" s="4">
        <v>1</v>
      </c>
      <c r="N294" s="4">
        <v>1</v>
      </c>
      <c r="O294" s="4" t="s">
        <v>1479</v>
      </c>
      <c r="P294" s="45">
        <v>43405</v>
      </c>
      <c r="Q294" s="45">
        <v>45657</v>
      </c>
      <c r="R294" s="49"/>
      <c r="S294" s="49"/>
      <c r="T294" s="49"/>
      <c r="U294" s="8"/>
      <c r="V294" s="8"/>
      <c r="W294" s="8"/>
      <c r="X294" s="8"/>
      <c r="Y294" s="8"/>
      <c r="Z294" s="8"/>
      <c r="AA294" s="31"/>
      <c r="AB294" s="32"/>
      <c r="AC294" s="8"/>
      <c r="AD294" s="8"/>
      <c r="AE294" s="8"/>
      <c r="AF294" s="8"/>
      <c r="AG294" s="33"/>
      <c r="AH294" s="34"/>
      <c r="AI294" s="35"/>
    </row>
    <row r="295" spans="1:35" ht="144.75" customHeight="1">
      <c r="A295" s="4">
        <v>13</v>
      </c>
      <c r="B295" s="197" t="s">
        <v>1505</v>
      </c>
      <c r="C295" s="188" t="s">
        <v>1506</v>
      </c>
      <c r="D295" s="4" t="s">
        <v>711</v>
      </c>
      <c r="E295" s="4" t="s">
        <v>786</v>
      </c>
      <c r="F295" s="43" t="s">
        <v>428</v>
      </c>
      <c r="G295" s="8"/>
      <c r="H295" s="8"/>
      <c r="I295" s="8"/>
      <c r="J295" s="4" t="s">
        <v>55</v>
      </c>
      <c r="K295" s="4" t="s">
        <v>1478</v>
      </c>
      <c r="L295" s="4">
        <v>1</v>
      </c>
      <c r="M295" s="4">
        <v>1</v>
      </c>
      <c r="N295" s="4">
        <v>1</v>
      </c>
      <c r="O295" s="4" t="s">
        <v>1479</v>
      </c>
      <c r="P295" s="45">
        <v>43405</v>
      </c>
      <c r="Q295" s="45">
        <v>44196</v>
      </c>
      <c r="R295" s="49"/>
      <c r="S295" s="49"/>
      <c r="T295" s="49"/>
      <c r="U295" s="8"/>
      <c r="V295" s="8"/>
      <c r="W295" s="8"/>
      <c r="X295" s="8"/>
      <c r="Y295" s="8"/>
      <c r="Z295" s="8"/>
      <c r="AA295" s="31"/>
      <c r="AB295" s="32"/>
      <c r="AC295" s="8"/>
      <c r="AD295" s="8"/>
      <c r="AE295" s="8"/>
      <c r="AF295" s="8"/>
      <c r="AG295" s="33"/>
      <c r="AH295" s="34"/>
      <c r="AI295" s="35"/>
    </row>
    <row r="296" spans="1:35" ht="144" customHeight="1">
      <c r="A296" s="4">
        <v>14</v>
      </c>
      <c r="B296" s="197" t="s">
        <v>1509</v>
      </c>
      <c r="C296" s="188" t="s">
        <v>1510</v>
      </c>
      <c r="D296" s="4" t="s">
        <v>711</v>
      </c>
      <c r="E296" s="4" t="s">
        <v>786</v>
      </c>
      <c r="F296" s="43" t="s">
        <v>431</v>
      </c>
      <c r="G296" s="8"/>
      <c r="H296" s="8"/>
      <c r="I296" s="8"/>
      <c r="J296" s="4" t="s">
        <v>735</v>
      </c>
      <c r="K296" s="4" t="s">
        <v>1478</v>
      </c>
      <c r="L296" s="4">
        <v>1</v>
      </c>
      <c r="M296" s="4">
        <v>1</v>
      </c>
      <c r="N296" s="4">
        <v>1</v>
      </c>
      <c r="O296" s="4" t="s">
        <v>1479</v>
      </c>
      <c r="P296" s="45">
        <v>43405</v>
      </c>
      <c r="Q296" s="45">
        <v>45657</v>
      </c>
      <c r="R296" s="49"/>
      <c r="S296" s="49"/>
      <c r="T296" s="49"/>
      <c r="U296" s="8"/>
      <c r="V296" s="8"/>
      <c r="W296" s="8"/>
      <c r="X296" s="8"/>
      <c r="Y296" s="8"/>
      <c r="Z296" s="8"/>
      <c r="AA296" s="31"/>
      <c r="AB296" s="32"/>
      <c r="AC296" s="8"/>
      <c r="AD296" s="8"/>
      <c r="AE296" s="8"/>
      <c r="AF296" s="8"/>
      <c r="AG296" s="33"/>
      <c r="AH296" s="34"/>
      <c r="AI296" s="35"/>
    </row>
    <row r="297" spans="1:35" ht="68.25" customHeight="1">
      <c r="A297" s="4">
        <v>15</v>
      </c>
      <c r="B297" s="197" t="s">
        <v>1511</v>
      </c>
      <c r="C297" s="188" t="s">
        <v>1512</v>
      </c>
      <c r="D297" s="4" t="s">
        <v>711</v>
      </c>
      <c r="E297" s="4" t="s">
        <v>786</v>
      </c>
      <c r="F297" s="43" t="s">
        <v>434</v>
      </c>
      <c r="G297" s="8"/>
      <c r="H297" s="8"/>
      <c r="I297" s="8"/>
      <c r="J297" s="4" t="s">
        <v>735</v>
      </c>
      <c r="K297" s="4" t="s">
        <v>1478</v>
      </c>
      <c r="L297" s="4">
        <v>1</v>
      </c>
      <c r="M297" s="4">
        <v>1</v>
      </c>
      <c r="N297" s="4">
        <v>1</v>
      </c>
      <c r="O297" s="4" t="s">
        <v>1479</v>
      </c>
      <c r="P297" s="45">
        <v>43405</v>
      </c>
      <c r="Q297" s="45">
        <v>44196</v>
      </c>
      <c r="R297" s="49"/>
      <c r="S297" s="49"/>
      <c r="T297" s="49"/>
      <c r="U297" s="8"/>
      <c r="V297" s="8"/>
      <c r="W297" s="8"/>
      <c r="X297" s="8"/>
      <c r="Y297" s="8"/>
      <c r="Z297" s="8"/>
      <c r="AA297" s="31"/>
      <c r="AB297" s="32"/>
      <c r="AC297" s="8"/>
      <c r="AD297" s="8"/>
      <c r="AE297" s="8"/>
      <c r="AF297" s="8"/>
      <c r="AG297" s="33"/>
      <c r="AH297" s="34"/>
      <c r="AI297" s="35"/>
    </row>
    <row r="298" spans="1:35" ht="84.75" customHeight="1">
      <c r="A298" s="4">
        <v>16</v>
      </c>
      <c r="B298" s="197" t="s">
        <v>1514</v>
      </c>
      <c r="C298" s="188" t="s">
        <v>1515</v>
      </c>
      <c r="D298" s="4" t="s">
        <v>711</v>
      </c>
      <c r="E298" s="4" t="s">
        <v>786</v>
      </c>
      <c r="F298" s="43" t="s">
        <v>437</v>
      </c>
      <c r="G298" s="8"/>
      <c r="H298" s="8"/>
      <c r="I298" s="8"/>
      <c r="J298" s="4" t="s">
        <v>55</v>
      </c>
      <c r="K298" s="4" t="s">
        <v>1478</v>
      </c>
      <c r="L298" s="4">
        <v>1</v>
      </c>
      <c r="M298" s="4">
        <v>1</v>
      </c>
      <c r="N298" s="4">
        <v>1</v>
      </c>
      <c r="O298" s="4" t="s">
        <v>1479</v>
      </c>
      <c r="P298" s="45">
        <v>43405</v>
      </c>
      <c r="Q298" s="45">
        <v>43830</v>
      </c>
      <c r="R298" s="49"/>
      <c r="S298" s="49"/>
      <c r="T298" s="49"/>
      <c r="U298" s="8"/>
      <c r="V298" s="8"/>
      <c r="W298" s="8"/>
      <c r="X298" s="8"/>
      <c r="Y298" s="8"/>
      <c r="Z298" s="8"/>
      <c r="AA298" s="31"/>
      <c r="AB298" s="32"/>
      <c r="AC298" s="8"/>
      <c r="AD298" s="8"/>
      <c r="AE298" s="8"/>
      <c r="AF298" s="8"/>
      <c r="AG298" s="33"/>
      <c r="AH298" s="34"/>
      <c r="AI298" s="35"/>
    </row>
    <row r="299" spans="1:35" ht="129" customHeight="1">
      <c r="A299" s="4">
        <v>17</v>
      </c>
      <c r="B299" s="197" t="s">
        <v>1516</v>
      </c>
      <c r="C299" s="188" t="s">
        <v>1517</v>
      </c>
      <c r="D299" s="4" t="s">
        <v>711</v>
      </c>
      <c r="E299" s="4" t="s">
        <v>786</v>
      </c>
      <c r="F299" s="43" t="s">
        <v>442</v>
      </c>
      <c r="G299" s="8"/>
      <c r="H299" s="8"/>
      <c r="I299" s="8"/>
      <c r="J299" s="4" t="s">
        <v>735</v>
      </c>
      <c r="K299" s="4" t="s">
        <v>1478</v>
      </c>
      <c r="L299" s="4">
        <v>1</v>
      </c>
      <c r="M299" s="4">
        <v>1</v>
      </c>
      <c r="N299" s="4">
        <v>1</v>
      </c>
      <c r="O299" s="4" t="s">
        <v>1479</v>
      </c>
      <c r="P299" s="45">
        <v>43405</v>
      </c>
      <c r="Q299" s="45">
        <v>45657</v>
      </c>
      <c r="R299" s="49"/>
      <c r="S299" s="49"/>
      <c r="T299" s="49"/>
      <c r="U299" s="8"/>
      <c r="V299" s="8"/>
      <c r="W299" s="8"/>
      <c r="X299" s="8"/>
      <c r="Y299" s="8"/>
      <c r="Z299" s="8"/>
      <c r="AA299" s="31"/>
      <c r="AB299" s="32"/>
      <c r="AC299" s="8"/>
      <c r="AD299" s="8"/>
      <c r="AE299" s="8"/>
      <c r="AF299" s="8"/>
      <c r="AG299" s="33"/>
      <c r="AH299" s="34"/>
      <c r="AI299" s="35"/>
    </row>
    <row r="300" spans="1:35" ht="1.5" customHeight="1">
      <c r="A300" s="4">
        <v>18</v>
      </c>
      <c r="B300" s="197" t="s">
        <v>1518</v>
      </c>
      <c r="C300" s="188" t="s">
        <v>1519</v>
      </c>
      <c r="D300" s="4" t="s">
        <v>711</v>
      </c>
      <c r="E300" s="4" t="s">
        <v>786</v>
      </c>
      <c r="F300" s="43" t="s">
        <v>445</v>
      </c>
      <c r="G300" s="8"/>
      <c r="H300" s="8"/>
      <c r="I300" s="8"/>
      <c r="J300" s="4" t="s">
        <v>55</v>
      </c>
      <c r="K300" s="4" t="s">
        <v>1478</v>
      </c>
      <c r="L300" s="4">
        <v>1</v>
      </c>
      <c r="M300" s="4">
        <v>1</v>
      </c>
      <c r="N300" s="4">
        <v>1</v>
      </c>
      <c r="O300" s="4" t="s">
        <v>1479</v>
      </c>
      <c r="P300" s="45">
        <v>43405</v>
      </c>
      <c r="Q300" s="45">
        <v>45657</v>
      </c>
      <c r="R300" s="49"/>
      <c r="S300" s="49"/>
      <c r="T300" s="49"/>
      <c r="U300" s="8"/>
      <c r="V300" s="8"/>
      <c r="W300" s="8"/>
      <c r="X300" s="8"/>
      <c r="Y300" s="8"/>
      <c r="Z300" s="8"/>
      <c r="AA300" s="31"/>
      <c r="AB300" s="32"/>
      <c r="AC300" s="8"/>
      <c r="AD300" s="8"/>
      <c r="AE300" s="8"/>
      <c r="AF300" s="8"/>
      <c r="AG300" s="33"/>
      <c r="AH300" s="34"/>
      <c r="AI300" s="35"/>
    </row>
    <row r="301" spans="1:35" ht="108" customHeight="1">
      <c r="A301" s="4">
        <v>19</v>
      </c>
      <c r="B301" s="197" t="s">
        <v>1521</v>
      </c>
      <c r="C301" s="188" t="s">
        <v>1522</v>
      </c>
      <c r="D301" s="4" t="s">
        <v>711</v>
      </c>
      <c r="E301" s="4" t="s">
        <v>786</v>
      </c>
      <c r="F301" s="43" t="s">
        <v>448</v>
      </c>
      <c r="G301" s="8"/>
      <c r="H301" s="8"/>
      <c r="I301" s="8"/>
      <c r="J301" s="4" t="s">
        <v>735</v>
      </c>
      <c r="K301" s="4" t="s">
        <v>1478</v>
      </c>
      <c r="L301" s="4">
        <v>1</v>
      </c>
      <c r="M301" s="4">
        <v>1</v>
      </c>
      <c r="N301" s="4">
        <v>1</v>
      </c>
      <c r="O301" s="4" t="s">
        <v>1479</v>
      </c>
      <c r="P301" s="45">
        <v>43405</v>
      </c>
      <c r="Q301" s="45">
        <v>44196</v>
      </c>
      <c r="R301" s="49"/>
      <c r="S301" s="49"/>
      <c r="T301" s="49"/>
      <c r="U301" s="8"/>
      <c r="V301" s="8"/>
      <c r="W301" s="8"/>
      <c r="X301" s="8"/>
      <c r="Y301" s="8"/>
      <c r="Z301" s="8"/>
      <c r="AA301" s="31"/>
      <c r="AB301" s="32"/>
      <c r="AC301" s="8"/>
      <c r="AD301" s="8"/>
      <c r="AE301" s="8"/>
      <c r="AF301" s="8"/>
      <c r="AG301" s="33"/>
      <c r="AH301" s="34"/>
      <c r="AI301" s="35"/>
    </row>
    <row r="302" spans="1:35" ht="116.25" customHeight="1">
      <c r="A302" s="4">
        <v>20</v>
      </c>
      <c r="B302" s="197" t="s">
        <v>1523</v>
      </c>
      <c r="C302" s="188" t="s">
        <v>1524</v>
      </c>
      <c r="D302" s="4" t="s">
        <v>711</v>
      </c>
      <c r="E302" s="4" t="s">
        <v>786</v>
      </c>
      <c r="F302" s="43" t="s">
        <v>453</v>
      </c>
      <c r="G302" s="8"/>
      <c r="H302" s="8"/>
      <c r="I302" s="8"/>
      <c r="J302" s="4" t="s">
        <v>735</v>
      </c>
      <c r="K302" s="4" t="s">
        <v>1478</v>
      </c>
      <c r="L302" s="4">
        <v>1</v>
      </c>
      <c r="M302" s="4">
        <v>1</v>
      </c>
      <c r="N302" s="4">
        <v>1</v>
      </c>
      <c r="O302" s="4" t="s">
        <v>1479</v>
      </c>
      <c r="P302" s="124">
        <v>43405</v>
      </c>
      <c r="Q302" s="45">
        <v>43830</v>
      </c>
      <c r="R302" s="49"/>
      <c r="S302" s="49"/>
      <c r="T302" s="49"/>
      <c r="U302" s="8"/>
      <c r="V302" s="8"/>
      <c r="W302" s="8"/>
      <c r="X302" s="8"/>
      <c r="Y302" s="8"/>
      <c r="Z302" s="8"/>
      <c r="AA302" s="31"/>
      <c r="AB302" s="32"/>
      <c r="AC302" s="8"/>
      <c r="AD302" s="8"/>
      <c r="AE302" s="8"/>
      <c r="AF302" s="8"/>
      <c r="AG302" s="33"/>
      <c r="AH302" s="34"/>
      <c r="AI302" s="35"/>
    </row>
    <row r="303" spans="1:35" ht="96.75" customHeight="1">
      <c r="A303" s="4">
        <v>21</v>
      </c>
      <c r="B303" s="188" t="s">
        <v>1525</v>
      </c>
      <c r="C303" s="188" t="s">
        <v>1526</v>
      </c>
      <c r="D303" s="4" t="s">
        <v>711</v>
      </c>
      <c r="E303" s="4" t="s">
        <v>786</v>
      </c>
      <c r="F303" s="43" t="s">
        <v>1527</v>
      </c>
      <c r="G303" s="8"/>
      <c r="H303" s="8"/>
      <c r="I303" s="8"/>
      <c r="J303" s="4" t="s">
        <v>735</v>
      </c>
      <c r="K303" s="4" t="s">
        <v>1478</v>
      </c>
      <c r="L303" s="4">
        <v>1</v>
      </c>
      <c r="M303" s="4">
        <v>1</v>
      </c>
      <c r="N303" s="4">
        <v>1</v>
      </c>
      <c r="O303" s="4" t="s">
        <v>1479</v>
      </c>
      <c r="P303" s="45">
        <v>43405</v>
      </c>
      <c r="Q303" s="45">
        <v>45657</v>
      </c>
      <c r="R303" s="49"/>
      <c r="S303" s="49"/>
      <c r="T303" s="49"/>
      <c r="U303" s="8"/>
      <c r="V303" s="8"/>
      <c r="W303" s="8"/>
      <c r="X303" s="8"/>
      <c r="Y303" s="8"/>
      <c r="Z303" s="8"/>
      <c r="AA303" s="31"/>
      <c r="AB303" s="32"/>
      <c r="AC303" s="8"/>
      <c r="AD303" s="8"/>
      <c r="AE303" s="8"/>
      <c r="AF303" s="8"/>
      <c r="AG303" s="33"/>
      <c r="AH303" s="34"/>
      <c r="AI303" s="35"/>
    </row>
    <row r="304" spans="1:35" ht="93" customHeight="1">
      <c r="A304" s="4">
        <v>22</v>
      </c>
      <c r="B304" s="197" t="s">
        <v>1530</v>
      </c>
      <c r="C304" s="188" t="s">
        <v>1531</v>
      </c>
      <c r="D304" s="4" t="s">
        <v>711</v>
      </c>
      <c r="E304" s="4" t="s">
        <v>786</v>
      </c>
      <c r="F304" s="43" t="s">
        <v>1532</v>
      </c>
      <c r="G304" s="8"/>
      <c r="H304" s="8"/>
      <c r="I304" s="8"/>
      <c r="J304" s="4" t="s">
        <v>735</v>
      </c>
      <c r="K304" s="4" t="s">
        <v>1478</v>
      </c>
      <c r="L304" s="4">
        <v>1</v>
      </c>
      <c r="M304" s="4">
        <v>1</v>
      </c>
      <c r="N304" s="4">
        <v>1</v>
      </c>
      <c r="O304" s="4" t="s">
        <v>1479</v>
      </c>
      <c r="P304" s="45">
        <v>43405</v>
      </c>
      <c r="Q304" s="45">
        <v>45657</v>
      </c>
      <c r="R304" s="49"/>
      <c r="S304" s="49"/>
      <c r="T304" s="49"/>
      <c r="U304" s="8"/>
      <c r="V304" s="8"/>
      <c r="W304" s="8"/>
      <c r="X304" s="8"/>
      <c r="Y304" s="8"/>
      <c r="Z304" s="8"/>
      <c r="AA304" s="31"/>
      <c r="AB304" s="32"/>
      <c r="AC304" s="8"/>
      <c r="AD304" s="8"/>
      <c r="AE304" s="8"/>
      <c r="AF304" s="8"/>
      <c r="AG304" s="33"/>
      <c r="AH304" s="34"/>
      <c r="AI304" s="35"/>
    </row>
    <row r="305" spans="1:35" ht="78" customHeight="1">
      <c r="A305" s="4">
        <v>23</v>
      </c>
      <c r="B305" s="197" t="s">
        <v>1533</v>
      </c>
      <c r="C305" s="188" t="s">
        <v>1534</v>
      </c>
      <c r="D305" s="4" t="s">
        <v>711</v>
      </c>
      <c r="E305" s="4" t="s">
        <v>786</v>
      </c>
      <c r="F305" s="43" t="s">
        <v>1535</v>
      </c>
      <c r="G305" s="8"/>
      <c r="H305" s="8"/>
      <c r="I305" s="8"/>
      <c r="J305" s="4" t="s">
        <v>735</v>
      </c>
      <c r="K305" s="4" t="s">
        <v>1478</v>
      </c>
      <c r="L305" s="4">
        <v>1</v>
      </c>
      <c r="M305" s="4">
        <v>1</v>
      </c>
      <c r="N305" s="4">
        <v>1</v>
      </c>
      <c r="O305" s="4" t="s">
        <v>1479</v>
      </c>
      <c r="P305" s="45">
        <v>43405</v>
      </c>
      <c r="Q305" s="45">
        <v>44926</v>
      </c>
      <c r="R305" s="49"/>
      <c r="S305" s="49"/>
      <c r="T305" s="49"/>
      <c r="U305" s="8"/>
      <c r="V305" s="8"/>
      <c r="W305" s="8"/>
      <c r="X305" s="8"/>
      <c r="Y305" s="8"/>
      <c r="Z305" s="8"/>
      <c r="AA305" s="31"/>
      <c r="AB305" s="32"/>
      <c r="AC305" s="8"/>
      <c r="AD305" s="8"/>
      <c r="AE305" s="8"/>
      <c r="AF305" s="8"/>
      <c r="AG305" s="33"/>
      <c r="AH305" s="34"/>
      <c r="AI305" s="35"/>
    </row>
    <row r="306" spans="1:35" ht="54" customHeight="1">
      <c r="A306" s="4">
        <v>24</v>
      </c>
      <c r="B306" s="197" t="s">
        <v>1536</v>
      </c>
      <c r="C306" s="188" t="s">
        <v>1537</v>
      </c>
      <c r="D306" s="4" t="s">
        <v>711</v>
      </c>
      <c r="E306" s="4" t="s">
        <v>786</v>
      </c>
      <c r="F306" s="43" t="s">
        <v>1538</v>
      </c>
      <c r="G306" s="8"/>
      <c r="H306" s="8"/>
      <c r="I306" s="8"/>
      <c r="J306" s="4" t="s">
        <v>735</v>
      </c>
      <c r="K306" s="4" t="s">
        <v>1478</v>
      </c>
      <c r="L306" s="4">
        <v>1</v>
      </c>
      <c r="M306" s="4">
        <v>1</v>
      </c>
      <c r="N306" s="4">
        <v>1</v>
      </c>
      <c r="O306" s="4" t="s">
        <v>1479</v>
      </c>
      <c r="P306" s="45">
        <v>43405</v>
      </c>
      <c r="Q306" s="45">
        <v>45657</v>
      </c>
      <c r="R306" s="49"/>
      <c r="S306" s="49"/>
      <c r="T306" s="49"/>
      <c r="U306" s="8"/>
      <c r="V306" s="8"/>
      <c r="W306" s="8"/>
      <c r="X306" s="8"/>
      <c r="Y306" s="8"/>
      <c r="Z306" s="8"/>
      <c r="AA306" s="31"/>
      <c r="AB306" s="32"/>
      <c r="AC306" s="8"/>
      <c r="AD306" s="8"/>
      <c r="AE306" s="8"/>
      <c r="AF306" s="8"/>
      <c r="AG306" s="33"/>
      <c r="AH306" s="34"/>
      <c r="AI306" s="35"/>
    </row>
    <row r="307" spans="1:35" ht="61.5" customHeight="1">
      <c r="A307" s="4">
        <v>25</v>
      </c>
      <c r="B307" s="197" t="s">
        <v>1541</v>
      </c>
      <c r="C307" s="188" t="s">
        <v>1542</v>
      </c>
      <c r="D307" s="4" t="s">
        <v>711</v>
      </c>
      <c r="E307" s="4" t="s">
        <v>786</v>
      </c>
      <c r="F307" s="43" t="s">
        <v>1543</v>
      </c>
      <c r="G307" s="8"/>
      <c r="H307" s="8"/>
      <c r="I307" s="8"/>
      <c r="J307" s="4" t="s">
        <v>71</v>
      </c>
      <c r="K307" s="8"/>
      <c r="L307" s="4">
        <v>1</v>
      </c>
      <c r="M307" s="4">
        <v>0</v>
      </c>
      <c r="N307" s="4">
        <v>0</v>
      </c>
      <c r="O307" s="4" t="s">
        <v>1471</v>
      </c>
      <c r="P307" s="45">
        <v>43405</v>
      </c>
      <c r="Q307" s="45">
        <v>45657</v>
      </c>
      <c r="R307" s="49"/>
      <c r="S307" s="49"/>
      <c r="T307" s="49"/>
      <c r="U307" s="8"/>
      <c r="V307" s="8"/>
      <c r="W307" s="8"/>
      <c r="X307" s="8"/>
      <c r="Y307" s="8"/>
      <c r="Z307" s="8"/>
      <c r="AA307" s="31"/>
      <c r="AB307" s="32"/>
      <c r="AC307" s="8"/>
      <c r="AD307" s="8"/>
      <c r="AE307" s="8"/>
      <c r="AF307" s="8"/>
      <c r="AG307" s="33"/>
      <c r="AH307" s="34"/>
      <c r="AI307" s="35"/>
    </row>
    <row r="308" spans="1:35" ht="48" customHeight="1">
      <c r="A308" s="4">
        <v>26</v>
      </c>
      <c r="B308" s="197" t="s">
        <v>1322</v>
      </c>
      <c r="C308" s="188" t="s">
        <v>1544</v>
      </c>
      <c r="D308" s="4" t="s">
        <v>711</v>
      </c>
      <c r="E308" s="4" t="s">
        <v>786</v>
      </c>
      <c r="F308" s="43" t="s">
        <v>1545</v>
      </c>
      <c r="G308" s="8"/>
      <c r="H308" s="8"/>
      <c r="I308" s="8"/>
      <c r="J308" s="4" t="s">
        <v>71</v>
      </c>
      <c r="K308" s="8"/>
      <c r="L308" s="4">
        <v>1</v>
      </c>
      <c r="M308" s="4">
        <v>0</v>
      </c>
      <c r="N308" s="4">
        <v>0</v>
      </c>
      <c r="O308" s="4" t="s">
        <v>1326</v>
      </c>
      <c r="P308" s="45">
        <v>43405</v>
      </c>
      <c r="Q308" s="45">
        <v>43830</v>
      </c>
      <c r="R308" s="49"/>
      <c r="S308" s="49"/>
      <c r="T308" s="49"/>
      <c r="U308" s="8"/>
      <c r="V308" s="8"/>
      <c r="W308" s="8"/>
      <c r="X308" s="8"/>
      <c r="Y308" s="8"/>
      <c r="Z308" s="8"/>
      <c r="AA308" s="31"/>
      <c r="AB308" s="32"/>
      <c r="AC308" s="8"/>
      <c r="AD308" s="8"/>
      <c r="AE308" s="8"/>
      <c r="AF308" s="8"/>
      <c r="AG308" s="33"/>
      <c r="AH308" s="34"/>
      <c r="AI308" s="35"/>
    </row>
    <row r="309" spans="1:35" ht="42">
      <c r="A309" s="4">
        <v>27</v>
      </c>
      <c r="B309" s="197" t="s">
        <v>1546</v>
      </c>
      <c r="C309" s="198" t="s">
        <v>1547</v>
      </c>
      <c r="D309" s="4" t="s">
        <v>711</v>
      </c>
      <c r="E309" s="4" t="s">
        <v>786</v>
      </c>
      <c r="F309" s="43" t="s">
        <v>1550</v>
      </c>
      <c r="G309" s="8"/>
      <c r="H309" s="8"/>
      <c r="I309" s="8"/>
      <c r="J309" s="4" t="s">
        <v>71</v>
      </c>
      <c r="K309" s="8"/>
      <c r="L309" s="4">
        <v>1</v>
      </c>
      <c r="M309" s="4">
        <v>0</v>
      </c>
      <c r="N309" s="4">
        <v>0</v>
      </c>
      <c r="O309" s="4" t="s">
        <v>1471</v>
      </c>
      <c r="P309" s="45">
        <v>43405</v>
      </c>
      <c r="Q309" s="45">
        <v>44561</v>
      </c>
      <c r="R309" s="49"/>
      <c r="S309" s="49"/>
      <c r="T309" s="49"/>
      <c r="U309" s="8"/>
      <c r="V309" s="8"/>
      <c r="W309" s="8"/>
      <c r="X309" s="8"/>
      <c r="Y309" s="8"/>
      <c r="Z309" s="8"/>
      <c r="AA309" s="31"/>
      <c r="AB309" s="32"/>
      <c r="AC309" s="8"/>
      <c r="AD309" s="8"/>
      <c r="AE309" s="8"/>
      <c r="AF309" s="8"/>
      <c r="AG309" s="33"/>
      <c r="AH309" s="34"/>
      <c r="AI309" s="35"/>
    </row>
    <row r="310" spans="1:35" ht="49.5" customHeight="1">
      <c r="A310" s="4">
        <v>28</v>
      </c>
      <c r="B310" s="197" t="s">
        <v>1552</v>
      </c>
      <c r="C310" s="188" t="s">
        <v>1553</v>
      </c>
      <c r="D310" s="4" t="s">
        <v>711</v>
      </c>
      <c r="E310" s="4" t="s">
        <v>786</v>
      </c>
      <c r="F310" s="43" t="s">
        <v>1554</v>
      </c>
      <c r="G310" s="8"/>
      <c r="H310" s="8"/>
      <c r="I310" s="8"/>
      <c r="J310" s="4" t="s">
        <v>71</v>
      </c>
      <c r="K310" s="8"/>
      <c r="L310" s="4">
        <v>1</v>
      </c>
      <c r="M310" s="4">
        <v>0</v>
      </c>
      <c r="N310" s="4">
        <v>0</v>
      </c>
      <c r="O310" s="4" t="s">
        <v>1471</v>
      </c>
      <c r="P310" s="45">
        <v>43405</v>
      </c>
      <c r="Q310" s="45">
        <v>44926</v>
      </c>
      <c r="R310" s="49"/>
      <c r="S310" s="49"/>
      <c r="T310" s="49"/>
      <c r="U310" s="8"/>
      <c r="V310" s="8"/>
      <c r="W310" s="8"/>
      <c r="X310" s="8"/>
      <c r="Y310" s="8"/>
      <c r="Z310" s="8"/>
      <c r="AA310" s="31"/>
      <c r="AB310" s="32"/>
      <c r="AC310" s="8"/>
      <c r="AD310" s="8"/>
      <c r="AE310" s="8"/>
      <c r="AF310" s="8"/>
      <c r="AG310" s="33"/>
      <c r="AH310" s="34"/>
      <c r="AI310" s="35"/>
    </row>
    <row r="311" spans="1:35" ht="14">
      <c r="A311" s="84"/>
      <c r="B311" s="192" t="s">
        <v>1555</v>
      </c>
      <c r="C311" s="84"/>
      <c r="D311" s="84"/>
      <c r="E311" s="84"/>
      <c r="F311" s="193"/>
      <c r="G311" s="84"/>
      <c r="H311" s="84"/>
      <c r="I311" s="84"/>
      <c r="J311" s="84"/>
      <c r="K311" s="84"/>
      <c r="L311" s="84"/>
      <c r="M311" s="84"/>
      <c r="N311" s="84"/>
      <c r="O311" s="84"/>
      <c r="P311" s="85"/>
      <c r="Q311" s="85"/>
      <c r="R311" s="86"/>
      <c r="S311" s="86"/>
      <c r="T311" s="86"/>
      <c r="U311" s="84"/>
      <c r="V311" s="84"/>
      <c r="W311" s="84"/>
      <c r="X311" s="84"/>
      <c r="Y311" s="84"/>
      <c r="Z311" s="84"/>
      <c r="AA311" s="194"/>
      <c r="AB311" s="195"/>
      <c r="AC311" s="84"/>
      <c r="AD311" s="84"/>
      <c r="AE311" s="84"/>
      <c r="AF311" s="84"/>
      <c r="AG311" s="196"/>
      <c r="AH311" s="34"/>
      <c r="AI311" s="35"/>
    </row>
    <row r="312" spans="1:35" ht="13">
      <c r="A312" s="8"/>
      <c r="B312" s="8"/>
      <c r="C312" s="8"/>
      <c r="D312" s="8"/>
      <c r="E312" s="8"/>
      <c r="F312" s="87"/>
      <c r="G312" s="8"/>
      <c r="H312" s="8"/>
      <c r="I312" s="8"/>
      <c r="J312" s="8"/>
      <c r="K312" s="8"/>
      <c r="L312" s="8"/>
      <c r="M312" s="8"/>
      <c r="N312" s="8"/>
      <c r="O312" s="8"/>
      <c r="P312" s="88"/>
      <c r="Q312" s="88"/>
      <c r="R312" s="49"/>
      <c r="S312" s="49"/>
      <c r="T312" s="49"/>
      <c r="U312" s="8"/>
      <c r="V312" s="8"/>
      <c r="W312" s="8"/>
      <c r="X312" s="8"/>
      <c r="Y312" s="8"/>
      <c r="Z312" s="8"/>
      <c r="AA312" s="31"/>
      <c r="AB312" s="32"/>
      <c r="AC312" s="8"/>
      <c r="AD312" s="8"/>
      <c r="AE312" s="8"/>
      <c r="AF312" s="8"/>
      <c r="AG312" s="33"/>
      <c r="AH312" s="34"/>
      <c r="AI312" s="35"/>
    </row>
    <row r="313" spans="1:35" ht="14">
      <c r="A313" s="84"/>
      <c r="B313" s="192" t="s">
        <v>1558</v>
      </c>
      <c r="C313" s="84"/>
      <c r="D313" s="84"/>
      <c r="E313" s="84"/>
      <c r="F313" s="193"/>
      <c r="G313" s="84"/>
      <c r="H313" s="84"/>
      <c r="I313" s="84"/>
      <c r="J313" s="84"/>
      <c r="K313" s="84"/>
      <c r="L313" s="84"/>
      <c r="M313" s="84"/>
      <c r="N313" s="84"/>
      <c r="O313" s="84"/>
      <c r="P313" s="85"/>
      <c r="Q313" s="85"/>
      <c r="R313" s="86"/>
      <c r="S313" s="86"/>
      <c r="T313" s="86"/>
      <c r="U313" s="84"/>
      <c r="V313" s="84"/>
      <c r="W313" s="84"/>
      <c r="X313" s="84"/>
      <c r="Y313" s="84"/>
      <c r="Z313" s="84"/>
      <c r="AA313" s="194"/>
      <c r="AB313" s="195"/>
      <c r="AC313" s="84"/>
      <c r="AD313" s="84"/>
      <c r="AE313" s="84"/>
      <c r="AF313" s="84"/>
      <c r="AG313" s="196"/>
      <c r="AH313" s="34"/>
      <c r="AI313" s="35"/>
    </row>
    <row r="314" spans="1:35" ht="87" customHeight="1">
      <c r="A314" s="8"/>
      <c r="B314" s="188" t="s">
        <v>1559</v>
      </c>
      <c r="C314" s="9" t="s">
        <v>1560</v>
      </c>
      <c r="D314" s="4" t="s">
        <v>711</v>
      </c>
      <c r="E314" s="4" t="s">
        <v>788</v>
      </c>
      <c r="F314" s="43" t="s">
        <v>290</v>
      </c>
      <c r="G314" s="8"/>
      <c r="H314" s="8"/>
      <c r="I314" s="8"/>
      <c r="J314" s="8"/>
      <c r="K314" s="8"/>
      <c r="L314" s="8"/>
      <c r="M314" s="8"/>
      <c r="N314" s="8"/>
      <c r="O314" s="8"/>
      <c r="P314" s="88"/>
      <c r="Q314" s="88"/>
      <c r="R314" s="49"/>
      <c r="S314" s="49"/>
      <c r="T314" s="49"/>
      <c r="U314" s="8"/>
      <c r="V314" s="8"/>
      <c r="W314" s="8"/>
      <c r="X314" s="8"/>
      <c r="Y314" s="8"/>
      <c r="Z314" s="8"/>
      <c r="AA314" s="31"/>
      <c r="AB314" s="32"/>
      <c r="AC314" s="8"/>
      <c r="AD314" s="8"/>
      <c r="AE314" s="8"/>
      <c r="AF314" s="8"/>
      <c r="AG314" s="33"/>
      <c r="AH314" s="34"/>
      <c r="AI314" s="35"/>
    </row>
    <row r="315" spans="1:35" ht="136.5" customHeight="1">
      <c r="A315" s="8"/>
      <c r="B315" s="188" t="s">
        <v>1564</v>
      </c>
      <c r="C315" s="9" t="s">
        <v>1565</v>
      </c>
      <c r="D315" s="4" t="s">
        <v>711</v>
      </c>
      <c r="E315" s="4" t="s">
        <v>788</v>
      </c>
      <c r="F315" s="43" t="s">
        <v>309</v>
      </c>
      <c r="G315" s="8"/>
      <c r="H315" s="8"/>
      <c r="I315" s="8"/>
      <c r="J315" s="8"/>
      <c r="K315" s="8"/>
      <c r="L315" s="8"/>
      <c r="M315" s="8"/>
      <c r="N315" s="8"/>
      <c r="O315" s="8"/>
      <c r="P315" s="88"/>
      <c r="Q315" s="88"/>
      <c r="R315" s="49"/>
      <c r="S315" s="49"/>
      <c r="T315" s="49"/>
      <c r="U315" s="8"/>
      <c r="V315" s="8"/>
      <c r="W315" s="8"/>
      <c r="X315" s="8"/>
      <c r="Y315" s="8"/>
      <c r="Z315" s="8"/>
      <c r="AA315" s="31"/>
      <c r="AB315" s="32"/>
      <c r="AC315" s="8"/>
      <c r="AD315" s="8"/>
      <c r="AE315" s="8"/>
      <c r="AF315" s="8"/>
      <c r="AG315" s="33"/>
      <c r="AH315" s="34"/>
      <c r="AI315" s="35"/>
    </row>
    <row r="316" spans="1:35" ht="84.75" customHeight="1">
      <c r="A316" s="8"/>
      <c r="B316" s="188" t="s">
        <v>1566</v>
      </c>
      <c r="C316" s="9" t="s">
        <v>1567</v>
      </c>
      <c r="D316" s="4" t="s">
        <v>711</v>
      </c>
      <c r="E316" s="4" t="s">
        <v>788</v>
      </c>
      <c r="F316" s="43" t="s">
        <v>317</v>
      </c>
      <c r="G316" s="8"/>
      <c r="H316" s="8"/>
      <c r="I316" s="8"/>
      <c r="J316" s="8"/>
      <c r="K316" s="8"/>
      <c r="L316" s="8"/>
      <c r="M316" s="8"/>
      <c r="N316" s="8"/>
      <c r="O316" s="8"/>
      <c r="P316" s="88"/>
      <c r="Q316" s="88"/>
      <c r="R316" s="49"/>
      <c r="S316" s="49"/>
      <c r="T316" s="49"/>
      <c r="U316" s="8"/>
      <c r="V316" s="8"/>
      <c r="W316" s="8"/>
      <c r="X316" s="8"/>
      <c r="Y316" s="8"/>
      <c r="Z316" s="8"/>
      <c r="AA316" s="31"/>
      <c r="AB316" s="32"/>
      <c r="AC316" s="8"/>
      <c r="AD316" s="8"/>
      <c r="AE316" s="8"/>
      <c r="AF316" s="8"/>
      <c r="AG316" s="33"/>
      <c r="AH316" s="34"/>
      <c r="AI316" s="35"/>
    </row>
    <row r="317" spans="1:35" ht="78.75" customHeight="1">
      <c r="A317" s="8"/>
      <c r="B317" s="188" t="s">
        <v>1568</v>
      </c>
      <c r="C317" s="9" t="s">
        <v>1569</v>
      </c>
      <c r="D317" s="4" t="s">
        <v>711</v>
      </c>
      <c r="E317" s="4" t="s">
        <v>788</v>
      </c>
      <c r="F317" s="43" t="s">
        <v>322</v>
      </c>
      <c r="G317" s="8"/>
      <c r="H317" s="8"/>
      <c r="I317" s="8"/>
      <c r="J317" s="8"/>
      <c r="K317" s="8"/>
      <c r="L317" s="8"/>
      <c r="M317" s="8"/>
      <c r="N317" s="8"/>
      <c r="O317" s="8"/>
      <c r="P317" s="88"/>
      <c r="Q317" s="88"/>
      <c r="R317" s="49"/>
      <c r="S317" s="49"/>
      <c r="T317" s="49"/>
      <c r="U317" s="8"/>
      <c r="V317" s="8"/>
      <c r="W317" s="8"/>
      <c r="X317" s="8"/>
      <c r="Y317" s="8"/>
      <c r="Z317" s="8"/>
      <c r="AA317" s="31"/>
      <c r="AB317" s="32"/>
      <c r="AC317" s="8"/>
      <c r="AD317" s="8"/>
      <c r="AE317" s="8"/>
      <c r="AF317" s="8"/>
      <c r="AG317" s="33"/>
      <c r="AH317" s="34"/>
      <c r="AI317" s="35"/>
    </row>
    <row r="318" spans="1:35" ht="78.75" customHeight="1">
      <c r="A318" s="8"/>
      <c r="B318" s="188" t="s">
        <v>1572</v>
      </c>
      <c r="C318" s="9" t="s">
        <v>1573</v>
      </c>
      <c r="D318" s="4" t="s">
        <v>711</v>
      </c>
      <c r="E318" s="4" t="s">
        <v>788</v>
      </c>
      <c r="F318" s="43" t="s">
        <v>329</v>
      </c>
      <c r="G318" s="8"/>
      <c r="H318" s="8"/>
      <c r="I318" s="8"/>
      <c r="J318" s="8"/>
      <c r="K318" s="8"/>
      <c r="L318" s="8"/>
      <c r="M318" s="8"/>
      <c r="N318" s="8"/>
      <c r="O318" s="8"/>
      <c r="P318" s="88"/>
      <c r="Q318" s="88"/>
      <c r="R318" s="49"/>
      <c r="S318" s="49"/>
      <c r="T318" s="49"/>
      <c r="U318" s="8"/>
      <c r="V318" s="8"/>
      <c r="W318" s="8"/>
      <c r="X318" s="8"/>
      <c r="Y318" s="8"/>
      <c r="Z318" s="8"/>
      <c r="AA318" s="31"/>
      <c r="AB318" s="32"/>
      <c r="AC318" s="8"/>
      <c r="AD318" s="8"/>
      <c r="AE318" s="8"/>
      <c r="AF318" s="8"/>
      <c r="AG318" s="33"/>
      <c r="AH318" s="34"/>
      <c r="AI318" s="35"/>
    </row>
    <row r="319" spans="1:35" ht="43.5" customHeight="1">
      <c r="A319" s="8"/>
      <c r="B319" s="188" t="s">
        <v>1574</v>
      </c>
      <c r="C319" s="9" t="s">
        <v>1575</v>
      </c>
      <c r="D319" s="4" t="s">
        <v>711</v>
      </c>
      <c r="E319" s="4" t="s">
        <v>788</v>
      </c>
      <c r="F319" s="43" t="s">
        <v>335</v>
      </c>
      <c r="G319" s="8"/>
      <c r="H319" s="8"/>
      <c r="I319" s="8"/>
      <c r="J319" s="8"/>
      <c r="K319" s="8"/>
      <c r="L319" s="8"/>
      <c r="M319" s="8"/>
      <c r="N319" s="8"/>
      <c r="O319" s="8"/>
      <c r="P319" s="88"/>
      <c r="Q319" s="88"/>
      <c r="R319" s="49"/>
      <c r="S319" s="49"/>
      <c r="T319" s="49"/>
      <c r="U319" s="8"/>
      <c r="V319" s="8"/>
      <c r="W319" s="8"/>
      <c r="X319" s="8"/>
      <c r="Y319" s="8"/>
      <c r="Z319" s="8"/>
      <c r="AA319" s="31"/>
      <c r="AB319" s="32"/>
      <c r="AC319" s="8"/>
      <c r="AD319" s="8"/>
      <c r="AE319" s="8"/>
      <c r="AF319" s="8"/>
      <c r="AG319" s="33"/>
      <c r="AH319" s="34"/>
      <c r="AI319" s="35"/>
    </row>
    <row r="320" spans="1:35" ht="13">
      <c r="A320" s="8"/>
      <c r="B320" s="8"/>
      <c r="C320" s="8"/>
      <c r="D320" s="8"/>
      <c r="E320" s="8"/>
      <c r="F320" s="87"/>
      <c r="G320" s="8"/>
      <c r="H320" s="8"/>
      <c r="I320" s="8"/>
      <c r="J320" s="8"/>
      <c r="K320" s="8"/>
      <c r="L320" s="8"/>
      <c r="M320" s="8"/>
      <c r="N320" s="8"/>
      <c r="O320" s="8"/>
      <c r="P320" s="88"/>
      <c r="Q320" s="88"/>
      <c r="R320" s="49"/>
      <c r="S320" s="49"/>
      <c r="T320" s="49"/>
      <c r="U320" s="8"/>
      <c r="V320" s="8"/>
      <c r="W320" s="8"/>
      <c r="X320" s="8"/>
      <c r="Y320" s="8"/>
      <c r="Z320" s="8"/>
      <c r="AA320" s="31"/>
      <c r="AB320" s="32"/>
      <c r="AC320" s="8"/>
      <c r="AD320" s="8"/>
      <c r="AE320" s="8"/>
      <c r="AF320" s="8"/>
      <c r="AG320" s="33"/>
      <c r="AH320" s="34"/>
      <c r="AI320" s="35"/>
    </row>
    <row r="321" spans="1:35" ht="13">
      <c r="A321" s="8"/>
      <c r="B321" s="8"/>
      <c r="C321" s="8"/>
      <c r="D321" s="8"/>
      <c r="E321" s="8"/>
      <c r="F321" s="87"/>
      <c r="G321" s="8"/>
      <c r="H321" s="8"/>
      <c r="I321" s="8"/>
      <c r="J321" s="8"/>
      <c r="K321" s="8"/>
      <c r="L321" s="8"/>
      <c r="M321" s="8"/>
      <c r="N321" s="8"/>
      <c r="O321" s="8"/>
      <c r="P321" s="88"/>
      <c r="Q321" s="88"/>
      <c r="R321" s="49"/>
      <c r="S321" s="49"/>
      <c r="T321" s="49"/>
      <c r="U321" s="8"/>
      <c r="V321" s="8"/>
      <c r="W321" s="8"/>
      <c r="X321" s="8"/>
      <c r="Y321" s="8"/>
      <c r="Z321" s="8"/>
      <c r="AA321" s="31"/>
      <c r="AB321" s="32"/>
      <c r="AC321" s="8"/>
      <c r="AD321" s="8"/>
      <c r="AE321" s="8"/>
      <c r="AF321" s="8"/>
      <c r="AG321" s="33"/>
      <c r="AH321" s="34"/>
      <c r="AI321" s="35"/>
    </row>
    <row r="322" spans="1:35" ht="13">
      <c r="A322" s="8"/>
      <c r="B322" s="8"/>
      <c r="C322" s="8"/>
      <c r="D322" s="8"/>
      <c r="E322" s="8"/>
      <c r="F322" s="87"/>
      <c r="G322" s="8"/>
      <c r="H322" s="8"/>
      <c r="I322" s="8"/>
      <c r="J322" s="8"/>
      <c r="K322" s="8"/>
      <c r="L322" s="8"/>
      <c r="M322" s="8"/>
      <c r="N322" s="8"/>
      <c r="O322" s="8"/>
      <c r="P322" s="88"/>
      <c r="Q322" s="88"/>
      <c r="R322" s="49"/>
      <c r="S322" s="49"/>
      <c r="T322" s="49"/>
      <c r="U322" s="8"/>
      <c r="V322" s="8"/>
      <c r="W322" s="8"/>
      <c r="X322" s="8"/>
      <c r="Y322" s="8"/>
      <c r="Z322" s="8"/>
      <c r="AA322" s="31"/>
      <c r="AB322" s="32"/>
      <c r="AC322" s="8"/>
      <c r="AD322" s="8"/>
      <c r="AE322" s="8"/>
      <c r="AF322" s="8"/>
      <c r="AG322" s="33"/>
      <c r="AH322" s="34"/>
      <c r="AI322" s="35"/>
    </row>
    <row r="323" spans="1:35" ht="13">
      <c r="A323" s="8"/>
      <c r="B323" s="8"/>
      <c r="C323" s="8"/>
      <c r="D323" s="8"/>
      <c r="E323" s="8"/>
      <c r="F323" s="87"/>
      <c r="G323" s="8"/>
      <c r="H323" s="8"/>
      <c r="I323" s="8"/>
      <c r="J323" s="8"/>
      <c r="K323" s="8"/>
      <c r="L323" s="8"/>
      <c r="M323" s="8"/>
      <c r="N323" s="8"/>
      <c r="O323" s="8"/>
      <c r="P323" s="88"/>
      <c r="Q323" s="88"/>
      <c r="R323" s="49"/>
      <c r="S323" s="49"/>
      <c r="T323" s="49"/>
      <c r="U323" s="8"/>
      <c r="V323" s="8"/>
      <c r="W323" s="8"/>
      <c r="X323" s="8"/>
      <c r="Y323" s="8"/>
      <c r="Z323" s="8"/>
      <c r="AA323" s="31"/>
      <c r="AB323" s="32"/>
      <c r="AC323" s="8"/>
      <c r="AD323" s="8"/>
      <c r="AE323" s="8"/>
      <c r="AF323" s="8"/>
      <c r="AG323" s="33"/>
      <c r="AH323" s="34"/>
      <c r="AI323" s="35"/>
    </row>
    <row r="324" spans="1:35" ht="13">
      <c r="A324" s="8"/>
      <c r="B324" s="8"/>
      <c r="C324" s="8"/>
      <c r="D324" s="8"/>
      <c r="E324" s="8"/>
      <c r="F324" s="87"/>
      <c r="G324" s="8"/>
      <c r="H324" s="8"/>
      <c r="I324" s="8"/>
      <c r="J324" s="8"/>
      <c r="K324" s="8"/>
      <c r="L324" s="8"/>
      <c r="M324" s="8"/>
      <c r="N324" s="8"/>
      <c r="O324" s="8"/>
      <c r="P324" s="88"/>
      <c r="Q324" s="88"/>
      <c r="R324" s="49"/>
      <c r="S324" s="49"/>
      <c r="T324" s="49"/>
      <c r="U324" s="8"/>
      <c r="V324" s="8"/>
      <c r="W324" s="8"/>
      <c r="X324" s="8"/>
      <c r="Y324" s="8"/>
      <c r="Z324" s="8"/>
      <c r="AA324" s="31"/>
      <c r="AB324" s="32"/>
      <c r="AC324" s="8"/>
      <c r="AD324" s="8"/>
      <c r="AE324" s="8"/>
      <c r="AF324" s="8"/>
      <c r="AG324" s="33"/>
      <c r="AH324" s="34"/>
      <c r="AI324" s="35"/>
    </row>
    <row r="325" spans="1:35" ht="13">
      <c r="A325" s="8"/>
      <c r="B325" s="8"/>
      <c r="C325" s="8"/>
      <c r="D325" s="8"/>
      <c r="E325" s="8"/>
      <c r="F325" s="87"/>
      <c r="G325" s="8"/>
      <c r="H325" s="8"/>
      <c r="I325" s="8"/>
      <c r="J325" s="8"/>
      <c r="K325" s="8"/>
      <c r="L325" s="8"/>
      <c r="M325" s="8"/>
      <c r="N325" s="8"/>
      <c r="O325" s="8"/>
      <c r="P325" s="88"/>
      <c r="Q325" s="88"/>
      <c r="R325" s="49"/>
      <c r="S325" s="49"/>
      <c r="T325" s="49"/>
      <c r="U325" s="8"/>
      <c r="V325" s="8"/>
      <c r="W325" s="8"/>
      <c r="X325" s="8"/>
      <c r="Y325" s="8"/>
      <c r="Z325" s="8"/>
      <c r="AA325" s="31"/>
      <c r="AB325" s="32"/>
      <c r="AC325" s="8"/>
      <c r="AD325" s="8"/>
      <c r="AE325" s="8"/>
      <c r="AF325" s="8"/>
      <c r="AG325" s="33"/>
      <c r="AH325" s="34"/>
      <c r="AI325" s="35"/>
    </row>
    <row r="326" spans="1:35" ht="13">
      <c r="A326" s="8"/>
      <c r="B326" s="8"/>
      <c r="C326" s="8"/>
      <c r="D326" s="8"/>
      <c r="E326" s="8"/>
      <c r="F326" s="87"/>
      <c r="G326" s="8"/>
      <c r="H326" s="8"/>
      <c r="I326" s="8"/>
      <c r="J326" s="8"/>
      <c r="K326" s="8"/>
      <c r="L326" s="8"/>
      <c r="M326" s="8"/>
      <c r="N326" s="8"/>
      <c r="O326" s="8"/>
      <c r="P326" s="88"/>
      <c r="Q326" s="88"/>
      <c r="R326" s="49"/>
      <c r="S326" s="49"/>
      <c r="T326" s="49"/>
      <c r="U326" s="8"/>
      <c r="V326" s="8"/>
      <c r="W326" s="8"/>
      <c r="X326" s="8"/>
      <c r="Y326" s="8"/>
      <c r="Z326" s="8"/>
      <c r="AA326" s="31"/>
      <c r="AB326" s="32"/>
      <c r="AC326" s="8"/>
      <c r="AD326" s="8"/>
      <c r="AE326" s="8"/>
      <c r="AF326" s="8"/>
      <c r="AG326" s="33"/>
      <c r="AH326" s="34"/>
      <c r="AI326" s="35"/>
    </row>
    <row r="327" spans="1:35" ht="14">
      <c r="A327" s="199"/>
      <c r="B327" s="200" t="s">
        <v>1581</v>
      </c>
      <c r="C327" s="199"/>
      <c r="D327" s="199"/>
      <c r="E327" s="199"/>
      <c r="F327" s="201"/>
      <c r="G327" s="199"/>
      <c r="H327" s="199"/>
      <c r="I327" s="199"/>
      <c r="J327" s="199"/>
      <c r="K327" s="199"/>
      <c r="L327" s="199"/>
      <c r="M327" s="199"/>
      <c r="N327" s="199"/>
      <c r="O327" s="199"/>
      <c r="P327" s="202"/>
      <c r="Q327" s="202"/>
      <c r="R327" s="203"/>
      <c r="S327" s="203"/>
      <c r="T327" s="203"/>
      <c r="U327" s="199"/>
      <c r="V327" s="199"/>
      <c r="W327" s="199"/>
      <c r="X327" s="199"/>
      <c r="Y327" s="199"/>
      <c r="Z327" s="199"/>
      <c r="AA327" s="204"/>
      <c r="AB327" s="205"/>
      <c r="AC327" s="199"/>
      <c r="AD327" s="199"/>
      <c r="AE327" s="199"/>
      <c r="AF327" s="199"/>
      <c r="AG327" s="206"/>
      <c r="AH327" s="34"/>
      <c r="AI327" s="35"/>
    </row>
    <row r="328" spans="1:35" ht="13">
      <c r="A328" s="8"/>
      <c r="B328" s="207"/>
      <c r="C328" s="58"/>
      <c r="D328" s="58"/>
      <c r="E328" s="58"/>
      <c r="F328" s="87"/>
      <c r="G328" s="8"/>
      <c r="H328" s="8"/>
      <c r="I328" s="8"/>
      <c r="J328" s="8"/>
      <c r="K328" s="8"/>
      <c r="L328" s="8"/>
      <c r="M328" s="8"/>
      <c r="N328" s="8"/>
      <c r="O328" s="8"/>
      <c r="P328" s="88"/>
      <c r="Q328" s="88"/>
      <c r="R328" s="49"/>
      <c r="S328" s="49"/>
      <c r="T328" s="49"/>
      <c r="U328" s="8"/>
      <c r="V328" s="8"/>
      <c r="W328" s="8"/>
      <c r="X328" s="8"/>
      <c r="Y328" s="8"/>
      <c r="Z328" s="8"/>
      <c r="AA328" s="31"/>
      <c r="AB328" s="32"/>
      <c r="AC328" s="8"/>
      <c r="AD328" s="8"/>
      <c r="AE328" s="8"/>
      <c r="AF328" s="8"/>
      <c r="AG328" s="33"/>
      <c r="AH328" s="34"/>
      <c r="AI328" s="35"/>
    </row>
    <row r="329" spans="1:35" ht="14">
      <c r="A329" s="8"/>
      <c r="B329" s="51" t="s">
        <v>1585</v>
      </c>
      <c r="C329" s="58"/>
      <c r="D329" s="58"/>
      <c r="E329" s="58"/>
      <c r="F329" s="87"/>
      <c r="G329" s="8"/>
      <c r="H329" s="8"/>
      <c r="I329" s="8"/>
      <c r="J329" s="8"/>
      <c r="K329" s="8"/>
      <c r="L329" s="8"/>
      <c r="M329" s="8"/>
      <c r="N329" s="8"/>
      <c r="O329" s="8"/>
      <c r="P329" s="88"/>
      <c r="Q329" s="88"/>
      <c r="R329" s="49"/>
      <c r="S329" s="49"/>
      <c r="T329" s="49"/>
      <c r="U329" s="8"/>
      <c r="V329" s="8"/>
      <c r="W329" s="8"/>
      <c r="X329" s="8"/>
      <c r="Y329" s="8"/>
      <c r="Z329" s="8"/>
      <c r="AA329" s="31"/>
      <c r="AB329" s="32"/>
      <c r="AC329" s="8"/>
      <c r="AD329" s="8"/>
      <c r="AE329" s="8"/>
      <c r="AF329" s="8"/>
      <c r="AG329" s="33"/>
      <c r="AH329" s="34"/>
      <c r="AI329" s="35"/>
    </row>
    <row r="330" spans="1:35" ht="42">
      <c r="A330" s="8"/>
      <c r="B330" s="4" t="s">
        <v>1587</v>
      </c>
      <c r="C330" s="4"/>
      <c r="D330" s="4"/>
      <c r="E330" s="4"/>
      <c r="F330" s="87"/>
      <c r="G330" s="8"/>
      <c r="H330" s="8"/>
      <c r="I330" s="8"/>
      <c r="J330" s="8"/>
      <c r="K330" s="8"/>
      <c r="L330" s="8"/>
      <c r="M330" s="8"/>
      <c r="N330" s="8"/>
      <c r="O330" s="8"/>
      <c r="P330" s="88"/>
      <c r="Q330" s="88"/>
      <c r="R330" s="49"/>
      <c r="S330" s="49"/>
      <c r="T330" s="49"/>
      <c r="U330" s="8"/>
      <c r="V330" s="8"/>
      <c r="W330" s="8"/>
      <c r="X330" s="8"/>
      <c r="Y330" s="8"/>
      <c r="Z330" s="8"/>
      <c r="AA330" s="31"/>
      <c r="AB330" s="32"/>
      <c r="AC330" s="8"/>
      <c r="AD330" s="8"/>
      <c r="AE330" s="8"/>
      <c r="AF330" s="8"/>
      <c r="AG330" s="33"/>
      <c r="AH330" s="34"/>
      <c r="AI330" s="35"/>
    </row>
    <row r="331" spans="1:35" ht="168">
      <c r="A331" s="8"/>
      <c r="B331" s="4" t="s">
        <v>1588</v>
      </c>
      <c r="C331" s="4" t="s">
        <v>1589</v>
      </c>
      <c r="D331" s="4" t="s">
        <v>1590</v>
      </c>
      <c r="E331" s="4" t="s">
        <v>1591</v>
      </c>
      <c r="F331" s="43" t="s">
        <v>290</v>
      </c>
      <c r="G331" s="4">
        <v>2</v>
      </c>
      <c r="H331" s="4">
        <v>2</v>
      </c>
      <c r="I331" s="4" t="s">
        <v>508</v>
      </c>
      <c r="J331" s="8"/>
      <c r="K331" s="8"/>
      <c r="L331" s="8"/>
      <c r="M331" s="8"/>
      <c r="N331" s="8"/>
      <c r="O331" s="8"/>
      <c r="P331" s="88"/>
      <c r="Q331" s="45">
        <v>45657</v>
      </c>
      <c r="R331" s="49"/>
      <c r="S331" s="49"/>
      <c r="T331" s="49"/>
      <c r="U331" s="8"/>
      <c r="V331" s="4">
        <v>250</v>
      </c>
      <c r="W331" s="4">
        <v>350</v>
      </c>
      <c r="X331" s="4">
        <v>300</v>
      </c>
      <c r="Y331" s="4">
        <v>260</v>
      </c>
      <c r="Z331" s="4">
        <v>260</v>
      </c>
      <c r="AA331" s="21">
        <v>290</v>
      </c>
      <c r="AB331" s="4">
        <v>250</v>
      </c>
      <c r="AC331" s="4">
        <v>350</v>
      </c>
      <c r="AD331" s="4">
        <v>300</v>
      </c>
      <c r="AE331" s="4">
        <v>260</v>
      </c>
      <c r="AF331" s="4">
        <v>260</v>
      </c>
      <c r="AG331" s="21">
        <v>290</v>
      </c>
      <c r="AH331" s="47" t="s">
        <v>1594</v>
      </c>
      <c r="AI331" s="48" t="s">
        <v>1595</v>
      </c>
    </row>
    <row r="332" spans="1:35" ht="154">
      <c r="A332" s="8"/>
      <c r="B332" s="4" t="s">
        <v>1596</v>
      </c>
      <c r="C332" s="4" t="s">
        <v>1597</v>
      </c>
      <c r="D332" s="4" t="s">
        <v>1590</v>
      </c>
      <c r="E332" s="4" t="s">
        <v>1591</v>
      </c>
      <c r="F332" s="43" t="s">
        <v>309</v>
      </c>
      <c r="G332" s="4">
        <v>2</v>
      </c>
      <c r="H332" s="4">
        <v>2</v>
      </c>
      <c r="I332" s="4" t="s">
        <v>508</v>
      </c>
      <c r="J332" s="8"/>
      <c r="K332" s="8"/>
      <c r="L332" s="8"/>
      <c r="M332" s="8"/>
      <c r="N332" s="8"/>
      <c r="O332" s="8"/>
      <c r="P332" s="88"/>
      <c r="Q332" s="45">
        <v>43830</v>
      </c>
      <c r="R332" s="49"/>
      <c r="S332" s="49"/>
      <c r="T332" s="49"/>
      <c r="U332" s="8"/>
      <c r="V332" s="4">
        <v>100</v>
      </c>
      <c r="W332" s="8"/>
      <c r="X332" s="8"/>
      <c r="Y332" s="8"/>
      <c r="Z332" s="8"/>
      <c r="AA332" s="31"/>
      <c r="AB332" s="22">
        <v>100</v>
      </c>
      <c r="AC332" s="8"/>
      <c r="AD332" s="8"/>
      <c r="AE332" s="8"/>
      <c r="AF332" s="8"/>
      <c r="AG332" s="33"/>
      <c r="AH332" s="208" t="s">
        <v>1598</v>
      </c>
      <c r="AI332" s="35"/>
    </row>
    <row r="333" spans="1:35" ht="293">
      <c r="A333" s="8"/>
      <c r="B333" s="4" t="s">
        <v>1599</v>
      </c>
      <c r="C333" s="4" t="s">
        <v>1600</v>
      </c>
      <c r="D333" s="4" t="s">
        <v>1590</v>
      </c>
      <c r="E333" s="4" t="s">
        <v>1591</v>
      </c>
      <c r="F333" s="43" t="s">
        <v>317</v>
      </c>
      <c r="G333" s="4" t="s">
        <v>508</v>
      </c>
      <c r="H333" s="4" t="s">
        <v>508</v>
      </c>
      <c r="I333" s="4" t="s">
        <v>508</v>
      </c>
      <c r="J333" s="8"/>
      <c r="K333" s="8"/>
      <c r="L333" s="8"/>
      <c r="M333" s="8"/>
      <c r="N333" s="8"/>
      <c r="O333" s="8"/>
      <c r="P333" s="88"/>
      <c r="Q333" s="45">
        <v>45657</v>
      </c>
      <c r="R333" s="49"/>
      <c r="S333" s="49"/>
      <c r="T333" s="49"/>
      <c r="U333" s="8"/>
      <c r="V333" s="4">
        <v>250</v>
      </c>
      <c r="W333" s="4">
        <v>1080</v>
      </c>
      <c r="X333" s="4">
        <v>690</v>
      </c>
      <c r="Y333" s="4">
        <v>130</v>
      </c>
      <c r="Z333" s="4">
        <v>130</v>
      </c>
      <c r="AA333" s="21">
        <v>150</v>
      </c>
      <c r="AB333" s="22">
        <v>250</v>
      </c>
      <c r="AC333" s="4">
        <v>1080</v>
      </c>
      <c r="AD333" s="4">
        <v>690</v>
      </c>
      <c r="AE333" s="4">
        <v>130</v>
      </c>
      <c r="AF333" s="4">
        <v>130</v>
      </c>
      <c r="AG333" s="23">
        <v>150</v>
      </c>
      <c r="AH333" s="47" t="s">
        <v>1602</v>
      </c>
      <c r="AI333" s="35"/>
    </row>
    <row r="334" spans="1:35" ht="210">
      <c r="A334" s="8"/>
      <c r="B334" s="4" t="s">
        <v>1603</v>
      </c>
      <c r="C334" s="4" t="s">
        <v>1604</v>
      </c>
      <c r="D334" s="4" t="s">
        <v>1590</v>
      </c>
      <c r="E334" s="4" t="s">
        <v>1591</v>
      </c>
      <c r="F334" s="43" t="s">
        <v>322</v>
      </c>
      <c r="G334" s="4">
        <v>2</v>
      </c>
      <c r="H334" s="209"/>
      <c r="I334" s="4" t="s">
        <v>1605</v>
      </c>
      <c r="J334" s="4" t="s">
        <v>735</v>
      </c>
      <c r="K334" s="4" t="s">
        <v>1606</v>
      </c>
      <c r="L334" s="8"/>
      <c r="M334" s="8"/>
      <c r="N334" s="8"/>
      <c r="O334" s="8"/>
      <c r="P334" s="88"/>
      <c r="Q334" s="45">
        <v>45657</v>
      </c>
      <c r="R334" s="49"/>
      <c r="S334" s="49"/>
      <c r="T334" s="49"/>
      <c r="U334" s="8"/>
      <c r="V334" s="4">
        <v>1850</v>
      </c>
      <c r="W334" s="4">
        <v>14850</v>
      </c>
      <c r="X334" s="4">
        <v>14900</v>
      </c>
      <c r="Y334" s="4">
        <v>11500</v>
      </c>
      <c r="Z334" s="4">
        <v>11500</v>
      </c>
      <c r="AA334" s="21">
        <v>12450</v>
      </c>
      <c r="AB334" s="22">
        <v>1800</v>
      </c>
      <c r="AC334" s="4">
        <v>14800</v>
      </c>
      <c r="AD334" s="4">
        <v>14800</v>
      </c>
      <c r="AE334" s="4">
        <v>11400</v>
      </c>
      <c r="AF334" s="8"/>
      <c r="AG334" s="33"/>
      <c r="AH334" s="47" t="s">
        <v>1607</v>
      </c>
      <c r="AI334" s="48" t="s">
        <v>1608</v>
      </c>
    </row>
    <row r="335" spans="1:35" ht="126">
      <c r="A335" s="8"/>
      <c r="B335" s="4" t="s">
        <v>1609</v>
      </c>
      <c r="C335" s="4" t="s">
        <v>1610</v>
      </c>
      <c r="D335" s="4" t="s">
        <v>1590</v>
      </c>
      <c r="E335" s="4" t="s">
        <v>1591</v>
      </c>
      <c r="F335" s="43" t="s">
        <v>329</v>
      </c>
      <c r="G335" s="4">
        <v>2</v>
      </c>
      <c r="H335" s="4"/>
      <c r="I335" s="4" t="s">
        <v>1611</v>
      </c>
      <c r="J335" s="8"/>
      <c r="K335" s="8"/>
      <c r="L335" s="8"/>
      <c r="M335" s="8"/>
      <c r="N335" s="8"/>
      <c r="O335" s="8"/>
      <c r="P335" s="88"/>
      <c r="Q335" s="45">
        <v>44926</v>
      </c>
      <c r="R335" s="49"/>
      <c r="S335" s="49"/>
      <c r="T335" s="49"/>
      <c r="U335" s="8"/>
      <c r="V335" s="8"/>
      <c r="W335" s="8"/>
      <c r="X335" s="8"/>
      <c r="Y335" s="8"/>
      <c r="Z335" s="8"/>
      <c r="AA335" s="31"/>
      <c r="AB335" s="32"/>
      <c r="AC335" s="8"/>
      <c r="AD335" s="8"/>
      <c r="AE335" s="8"/>
      <c r="AF335" s="8"/>
      <c r="AG335" s="33"/>
      <c r="AH335" s="34"/>
      <c r="AI335" s="35"/>
    </row>
    <row r="336" spans="1:35" ht="112">
      <c r="A336" s="8"/>
      <c r="B336" s="4" t="s">
        <v>1612</v>
      </c>
      <c r="C336" s="4" t="s">
        <v>1613</v>
      </c>
      <c r="D336" s="4" t="s">
        <v>1590</v>
      </c>
      <c r="E336" s="4" t="s">
        <v>1591</v>
      </c>
      <c r="F336" s="43" t="s">
        <v>335</v>
      </c>
      <c r="G336" s="4">
        <v>2</v>
      </c>
      <c r="H336" s="8"/>
      <c r="I336" s="4" t="s">
        <v>1605</v>
      </c>
      <c r="J336" s="8"/>
      <c r="K336" s="8"/>
      <c r="L336" s="8"/>
      <c r="M336" s="8"/>
      <c r="N336" s="8"/>
      <c r="O336" s="8"/>
      <c r="P336" s="88"/>
      <c r="Q336" s="45">
        <v>45657</v>
      </c>
      <c r="R336" s="49"/>
      <c r="S336" s="49"/>
      <c r="T336" s="49"/>
      <c r="U336" s="8"/>
      <c r="V336" s="8"/>
      <c r="W336" s="8"/>
      <c r="X336" s="8"/>
      <c r="Y336" s="8"/>
      <c r="Z336" s="8"/>
      <c r="AA336" s="31"/>
      <c r="AB336" s="32"/>
      <c r="AC336" s="8"/>
      <c r="AD336" s="8"/>
      <c r="AE336" s="8"/>
      <c r="AF336" s="8"/>
      <c r="AG336" s="33"/>
      <c r="AH336" s="34"/>
      <c r="AI336" s="35"/>
    </row>
    <row r="337" spans="1:35" ht="98">
      <c r="A337" s="8"/>
      <c r="B337" s="4" t="s">
        <v>1616</v>
      </c>
      <c r="C337" s="4" t="s">
        <v>1617</v>
      </c>
      <c r="D337" s="4" t="s">
        <v>1590</v>
      </c>
      <c r="E337" s="4" t="s">
        <v>1591</v>
      </c>
      <c r="F337" s="43" t="s">
        <v>341</v>
      </c>
      <c r="G337" s="4">
        <v>2</v>
      </c>
      <c r="H337" s="4" t="s">
        <v>508</v>
      </c>
      <c r="I337" s="4" t="s">
        <v>1618</v>
      </c>
      <c r="J337" s="8"/>
      <c r="K337" s="8"/>
      <c r="L337" s="8"/>
      <c r="M337" s="8"/>
      <c r="N337" s="8"/>
      <c r="O337" s="8"/>
      <c r="P337" s="88"/>
      <c r="Q337" s="45">
        <v>44196</v>
      </c>
      <c r="R337" s="49"/>
      <c r="S337" s="49"/>
      <c r="T337" s="49"/>
      <c r="U337" s="8"/>
      <c r="V337" s="8"/>
      <c r="W337" s="8"/>
      <c r="X337" s="8"/>
      <c r="Y337" s="8"/>
      <c r="Z337" s="8"/>
      <c r="AA337" s="31"/>
      <c r="AB337" s="32"/>
      <c r="AC337" s="8"/>
      <c r="AD337" s="8"/>
      <c r="AE337" s="8"/>
      <c r="AF337" s="8"/>
      <c r="AG337" s="33"/>
      <c r="AH337" s="34"/>
      <c r="AI337" s="35"/>
    </row>
    <row r="338" spans="1:35" ht="98">
      <c r="A338" s="8"/>
      <c r="B338" s="4" t="s">
        <v>1619</v>
      </c>
      <c r="C338" s="4" t="s">
        <v>1620</v>
      </c>
      <c r="D338" s="4" t="s">
        <v>1590</v>
      </c>
      <c r="E338" s="4" t="s">
        <v>1591</v>
      </c>
      <c r="F338" s="43" t="s">
        <v>347</v>
      </c>
      <c r="G338" s="4">
        <v>2</v>
      </c>
      <c r="H338" s="8"/>
      <c r="I338" s="4" t="s">
        <v>1605</v>
      </c>
      <c r="J338" s="8"/>
      <c r="K338" s="8"/>
      <c r="L338" s="8"/>
      <c r="M338" s="8"/>
      <c r="N338" s="8"/>
      <c r="O338" s="8"/>
      <c r="P338" s="88"/>
      <c r="Q338" s="45">
        <v>45657</v>
      </c>
      <c r="R338" s="49"/>
      <c r="S338" s="49"/>
      <c r="T338" s="49"/>
      <c r="U338" s="8"/>
      <c r="V338" s="4">
        <v>200</v>
      </c>
      <c r="W338" s="4">
        <v>650</v>
      </c>
      <c r="X338" s="4">
        <v>650</v>
      </c>
      <c r="Y338" s="4">
        <v>1300</v>
      </c>
      <c r="Z338" s="4">
        <v>1300</v>
      </c>
      <c r="AA338" s="21">
        <v>1300</v>
      </c>
      <c r="AB338" s="22">
        <v>190</v>
      </c>
      <c r="AC338" s="4">
        <v>620</v>
      </c>
      <c r="AD338" s="4">
        <v>620</v>
      </c>
      <c r="AE338" s="4">
        <v>1235</v>
      </c>
      <c r="AF338" s="8"/>
      <c r="AG338" s="33"/>
      <c r="AH338" s="47" t="s">
        <v>1621</v>
      </c>
      <c r="AI338" s="48" t="s">
        <v>1622</v>
      </c>
    </row>
    <row r="339" spans="1:35" ht="98">
      <c r="A339" s="8"/>
      <c r="B339" s="4" t="s">
        <v>1521</v>
      </c>
      <c r="C339" s="4" t="s">
        <v>1625</v>
      </c>
      <c r="D339" s="4" t="s">
        <v>711</v>
      </c>
      <c r="E339" s="4" t="s">
        <v>782</v>
      </c>
      <c r="F339" s="43" t="s">
        <v>352</v>
      </c>
      <c r="G339" s="4" t="s">
        <v>508</v>
      </c>
      <c r="H339" s="8"/>
      <c r="I339" s="8"/>
      <c r="J339" s="8"/>
      <c r="K339" s="8"/>
      <c r="L339" s="8"/>
      <c r="M339" s="8"/>
      <c r="N339" s="8"/>
      <c r="O339" s="8"/>
      <c r="P339" s="88"/>
      <c r="Q339" s="8"/>
      <c r="R339" s="49"/>
      <c r="S339" s="49"/>
      <c r="T339" s="49"/>
      <c r="U339" s="8"/>
      <c r="V339" s="8"/>
      <c r="W339" s="8"/>
      <c r="X339" s="8"/>
      <c r="Y339" s="8"/>
      <c r="Z339" s="8"/>
      <c r="AA339" s="31"/>
      <c r="AB339" s="32"/>
      <c r="AC339" s="8"/>
      <c r="AD339" s="8"/>
      <c r="AE339" s="8"/>
      <c r="AF339" s="8"/>
      <c r="AG339" s="33"/>
      <c r="AH339" s="34"/>
      <c r="AI339" s="35"/>
    </row>
    <row r="340" spans="1:35" ht="126">
      <c r="A340" s="8"/>
      <c r="B340" s="4" t="s">
        <v>1626</v>
      </c>
      <c r="C340" s="4" t="s">
        <v>1627</v>
      </c>
      <c r="D340" s="4" t="s">
        <v>711</v>
      </c>
      <c r="E340" s="4" t="s">
        <v>782</v>
      </c>
      <c r="F340" s="43" t="s">
        <v>1628</v>
      </c>
      <c r="G340" s="8"/>
      <c r="H340" s="8"/>
      <c r="I340" s="8"/>
      <c r="J340" s="8"/>
      <c r="K340" s="8"/>
      <c r="L340" s="8"/>
      <c r="M340" s="8"/>
      <c r="N340" s="8"/>
      <c r="O340" s="8"/>
      <c r="P340" s="88"/>
      <c r="Q340" s="45">
        <v>43891</v>
      </c>
      <c r="R340" s="49"/>
      <c r="S340" s="49"/>
      <c r="T340" s="49"/>
      <c r="U340" s="8"/>
      <c r="V340" s="8"/>
      <c r="W340" s="8"/>
      <c r="X340" s="8"/>
      <c r="Y340" s="8"/>
      <c r="Z340" s="8"/>
      <c r="AA340" s="31"/>
      <c r="AB340" s="32"/>
      <c r="AC340" s="8"/>
      <c r="AD340" s="8"/>
      <c r="AE340" s="8"/>
      <c r="AF340" s="8"/>
      <c r="AG340" s="33"/>
      <c r="AH340" s="34"/>
      <c r="AI340" s="35"/>
    </row>
    <row r="341" spans="1:35" ht="42">
      <c r="A341" s="8"/>
      <c r="B341" s="4" t="s">
        <v>1629</v>
      </c>
      <c r="C341" s="4" t="s">
        <v>1630</v>
      </c>
      <c r="D341" s="4" t="s">
        <v>711</v>
      </c>
      <c r="E341" s="4" t="s">
        <v>782</v>
      </c>
      <c r="F341" s="43" t="s">
        <v>1631</v>
      </c>
      <c r="G341" s="8"/>
      <c r="H341" s="8"/>
      <c r="I341" s="8"/>
      <c r="J341" s="8"/>
      <c r="K341" s="8"/>
      <c r="L341" s="8"/>
      <c r="M341" s="8"/>
      <c r="N341" s="8"/>
      <c r="O341" s="8"/>
      <c r="P341" s="88"/>
      <c r="Q341" s="45">
        <v>43922</v>
      </c>
      <c r="R341" s="49"/>
      <c r="S341" s="49"/>
      <c r="T341" s="49"/>
      <c r="U341" s="8"/>
      <c r="V341" s="8"/>
      <c r="W341" s="8"/>
      <c r="X341" s="8"/>
      <c r="Y341" s="8"/>
      <c r="Z341" s="8"/>
      <c r="AA341" s="31"/>
      <c r="AB341" s="32"/>
      <c r="AC341" s="8"/>
      <c r="AD341" s="8"/>
      <c r="AE341" s="8"/>
      <c r="AF341" s="8"/>
      <c r="AG341" s="33"/>
      <c r="AH341" s="34"/>
      <c r="AI341" s="35"/>
    </row>
    <row r="342" spans="1:35" ht="140">
      <c r="A342" s="8"/>
      <c r="B342" s="4" t="s">
        <v>1634</v>
      </c>
      <c r="C342" s="4" t="s">
        <v>1635</v>
      </c>
      <c r="D342" s="4" t="s">
        <v>711</v>
      </c>
      <c r="E342" s="4" t="s">
        <v>782</v>
      </c>
      <c r="F342" s="43" t="s">
        <v>1636</v>
      </c>
      <c r="G342" s="8"/>
      <c r="H342" s="8"/>
      <c r="I342" s="8"/>
      <c r="J342" s="8"/>
      <c r="K342" s="8"/>
      <c r="L342" s="8"/>
      <c r="M342" s="8"/>
      <c r="N342" s="8"/>
      <c r="O342" s="8"/>
      <c r="P342" s="88"/>
      <c r="Q342" s="45">
        <v>45657</v>
      </c>
      <c r="R342" s="49"/>
      <c r="S342" s="49"/>
      <c r="T342" s="49"/>
      <c r="U342" s="8"/>
      <c r="V342" s="8"/>
      <c r="W342" s="8"/>
      <c r="X342" s="8"/>
      <c r="Y342" s="8"/>
      <c r="Z342" s="8"/>
      <c r="AA342" s="31"/>
      <c r="AB342" s="32"/>
      <c r="AC342" s="8"/>
      <c r="AD342" s="8"/>
      <c r="AE342" s="8"/>
      <c r="AF342" s="8"/>
      <c r="AG342" s="33"/>
      <c r="AH342" s="34"/>
      <c r="AI342" s="35"/>
    </row>
    <row r="343" spans="1:35" ht="266">
      <c r="A343" s="8"/>
      <c r="B343" s="4" t="s">
        <v>1637</v>
      </c>
      <c r="C343" s="4" t="s">
        <v>1638</v>
      </c>
      <c r="D343" s="4" t="s">
        <v>711</v>
      </c>
      <c r="E343" s="4" t="s">
        <v>782</v>
      </c>
      <c r="F343" s="43" t="s">
        <v>1639</v>
      </c>
      <c r="G343" s="8"/>
      <c r="H343" s="8"/>
      <c r="I343" s="8"/>
      <c r="J343" s="8"/>
      <c r="K343" s="8"/>
      <c r="L343" s="8"/>
      <c r="M343" s="8"/>
      <c r="N343" s="8"/>
      <c r="O343" s="8"/>
      <c r="P343" s="88"/>
      <c r="Q343" s="88"/>
      <c r="R343" s="49"/>
      <c r="S343" s="49"/>
      <c r="T343" s="49"/>
      <c r="U343" s="8"/>
      <c r="V343" s="8"/>
      <c r="W343" s="8"/>
      <c r="X343" s="8"/>
      <c r="Y343" s="8"/>
      <c r="Z343" s="8"/>
      <c r="AA343" s="31"/>
      <c r="AB343" s="32"/>
      <c r="AC343" s="8"/>
      <c r="AD343" s="8"/>
      <c r="AE343" s="8"/>
      <c r="AF343" s="8"/>
      <c r="AG343" s="33"/>
      <c r="AH343" s="34"/>
      <c r="AI343" s="35"/>
    </row>
    <row r="344" spans="1:35" ht="140">
      <c r="A344" s="8"/>
      <c r="B344" s="4" t="s">
        <v>1640</v>
      </c>
      <c r="C344" s="4" t="s">
        <v>1641</v>
      </c>
      <c r="D344" s="4" t="s">
        <v>711</v>
      </c>
      <c r="E344" s="4" t="s">
        <v>782</v>
      </c>
      <c r="F344" s="43" t="s">
        <v>1642</v>
      </c>
      <c r="G344" s="8"/>
      <c r="H344" s="8"/>
      <c r="I344" s="8"/>
      <c r="J344" s="8"/>
      <c r="K344" s="8"/>
      <c r="L344" s="8"/>
      <c r="M344" s="8"/>
      <c r="N344" s="8"/>
      <c r="O344" s="8"/>
      <c r="P344" s="88"/>
      <c r="Q344" s="45">
        <v>45657</v>
      </c>
      <c r="R344" s="49"/>
      <c r="S344" s="49"/>
      <c r="T344" s="49"/>
      <c r="U344" s="8"/>
      <c r="V344" s="8"/>
      <c r="W344" s="8"/>
      <c r="X344" s="8"/>
      <c r="Y344" s="8"/>
      <c r="Z344" s="8"/>
      <c r="AA344" s="31"/>
      <c r="AB344" s="32"/>
      <c r="AC344" s="8"/>
      <c r="AD344" s="8"/>
      <c r="AE344" s="8"/>
      <c r="AF344" s="8"/>
      <c r="AG344" s="33"/>
      <c r="AH344" s="34"/>
      <c r="AI344" s="35"/>
    </row>
    <row r="345" spans="1:35" ht="238">
      <c r="A345" s="8"/>
      <c r="B345" s="4" t="s">
        <v>1645</v>
      </c>
      <c r="C345" s="4" t="s">
        <v>1646</v>
      </c>
      <c r="D345" s="4" t="s">
        <v>711</v>
      </c>
      <c r="E345" s="4" t="s">
        <v>782</v>
      </c>
      <c r="F345" s="43" t="s">
        <v>1647</v>
      </c>
      <c r="G345" s="8"/>
      <c r="H345" s="8"/>
      <c r="I345" s="8"/>
      <c r="J345" s="8"/>
      <c r="K345" s="8"/>
      <c r="L345" s="8"/>
      <c r="M345" s="8"/>
      <c r="N345" s="8"/>
      <c r="O345" s="8"/>
      <c r="P345" s="88"/>
      <c r="Q345" s="45">
        <v>43830</v>
      </c>
      <c r="R345" s="49"/>
      <c r="S345" s="49"/>
      <c r="T345" s="49"/>
      <c r="U345" s="8"/>
      <c r="V345" s="8"/>
      <c r="W345" s="8"/>
      <c r="X345" s="8"/>
      <c r="Y345" s="8"/>
      <c r="Z345" s="8"/>
      <c r="AA345" s="31"/>
      <c r="AB345" s="32"/>
      <c r="AC345" s="8"/>
      <c r="AD345" s="8"/>
      <c r="AE345" s="8"/>
      <c r="AF345" s="8"/>
      <c r="AG345" s="33"/>
      <c r="AH345" s="34"/>
      <c r="AI345" s="35"/>
    </row>
    <row r="346" spans="1:35" ht="13">
      <c r="A346" s="8"/>
      <c r="B346" s="8"/>
      <c r="C346" s="8"/>
      <c r="D346" s="8"/>
      <c r="E346" s="8"/>
      <c r="F346" s="87"/>
      <c r="G346" s="8"/>
      <c r="H346" s="8"/>
      <c r="I346" s="8"/>
      <c r="J346" s="8"/>
      <c r="K346" s="8"/>
      <c r="L346" s="8"/>
      <c r="M346" s="8"/>
      <c r="N346" s="8"/>
      <c r="O346" s="8"/>
      <c r="P346" s="88"/>
      <c r="Q346" s="88"/>
      <c r="R346" s="49"/>
      <c r="S346" s="49"/>
      <c r="T346" s="49"/>
      <c r="U346" s="8"/>
      <c r="V346" s="8"/>
      <c r="W346" s="8"/>
      <c r="X346" s="8"/>
      <c r="Y346" s="8"/>
      <c r="Z346" s="8"/>
      <c r="AA346" s="31"/>
      <c r="AB346" s="32"/>
      <c r="AC346" s="8"/>
      <c r="AD346" s="8"/>
      <c r="AE346" s="8"/>
      <c r="AF346" s="8"/>
      <c r="AG346" s="33"/>
      <c r="AH346" s="34"/>
      <c r="AI346" s="35"/>
    </row>
    <row r="347" spans="1:35" ht="13">
      <c r="A347" s="8"/>
      <c r="B347" s="8"/>
      <c r="C347" s="8"/>
      <c r="D347" s="8"/>
      <c r="E347" s="8"/>
      <c r="F347" s="87"/>
      <c r="G347" s="8"/>
      <c r="H347" s="8"/>
      <c r="I347" s="8"/>
      <c r="J347" s="8"/>
      <c r="K347" s="8"/>
      <c r="L347" s="8"/>
      <c r="M347" s="8"/>
      <c r="N347" s="8"/>
      <c r="O347" s="8"/>
      <c r="P347" s="88"/>
      <c r="Q347" s="88"/>
      <c r="R347" s="49"/>
      <c r="S347" s="49"/>
      <c r="T347" s="49"/>
      <c r="U347" s="8"/>
      <c r="V347" s="8"/>
      <c r="W347" s="8"/>
      <c r="X347" s="8"/>
      <c r="Y347" s="8"/>
      <c r="Z347" s="8"/>
      <c r="AA347" s="31"/>
      <c r="AB347" s="32"/>
      <c r="AC347" s="8"/>
      <c r="AD347" s="8"/>
      <c r="AE347" s="8"/>
      <c r="AF347" s="8"/>
      <c r="AG347" s="33"/>
      <c r="AH347" s="34"/>
      <c r="AI347" s="35"/>
    </row>
    <row r="348" spans="1:35" ht="13">
      <c r="A348" s="8"/>
      <c r="B348" s="8"/>
      <c r="C348" s="8"/>
      <c r="D348" s="8"/>
      <c r="E348" s="8"/>
      <c r="F348" s="87"/>
      <c r="G348" s="8"/>
      <c r="H348" s="8"/>
      <c r="I348" s="8"/>
      <c r="J348" s="8"/>
      <c r="K348" s="8"/>
      <c r="L348" s="8"/>
      <c r="M348" s="8"/>
      <c r="N348" s="8"/>
      <c r="O348" s="8"/>
      <c r="P348" s="88"/>
      <c r="Q348" s="88"/>
      <c r="R348" s="49"/>
      <c r="S348" s="49"/>
      <c r="T348" s="49"/>
      <c r="U348" s="8"/>
      <c r="V348" s="8"/>
      <c r="W348" s="8"/>
      <c r="X348" s="8"/>
      <c r="Y348" s="8"/>
      <c r="Z348" s="8"/>
      <c r="AA348" s="31"/>
      <c r="AB348" s="32"/>
      <c r="AC348" s="8"/>
      <c r="AD348" s="8"/>
      <c r="AE348" s="8"/>
      <c r="AF348" s="8"/>
      <c r="AG348" s="33"/>
      <c r="AH348" s="34"/>
      <c r="AI348" s="35"/>
    </row>
    <row r="349" spans="1:35" ht="13">
      <c r="A349" s="8"/>
      <c r="B349" s="8"/>
      <c r="C349" s="8"/>
      <c r="D349" s="8"/>
      <c r="E349" s="8"/>
      <c r="F349" s="87"/>
      <c r="G349" s="8"/>
      <c r="H349" s="8"/>
      <c r="I349" s="8"/>
      <c r="J349" s="8"/>
      <c r="K349" s="8"/>
      <c r="L349" s="8"/>
      <c r="M349" s="8"/>
      <c r="N349" s="8"/>
      <c r="O349" s="8"/>
      <c r="P349" s="88"/>
      <c r="Q349" s="88"/>
      <c r="R349" s="49"/>
      <c r="S349" s="49"/>
      <c r="T349" s="49"/>
      <c r="U349" s="8"/>
      <c r="V349" s="8"/>
      <c r="W349" s="8"/>
      <c r="X349" s="8"/>
      <c r="Y349" s="8"/>
      <c r="Z349" s="8"/>
      <c r="AA349" s="31"/>
      <c r="AB349" s="32"/>
      <c r="AC349" s="8"/>
      <c r="AD349" s="8"/>
      <c r="AE349" s="8"/>
      <c r="AF349" s="8"/>
      <c r="AG349" s="33"/>
      <c r="AH349" s="34"/>
      <c r="AI349" s="35"/>
    </row>
    <row r="350" spans="1:35" ht="13">
      <c r="A350" s="8"/>
      <c r="B350" s="8"/>
      <c r="C350" s="8"/>
      <c r="D350" s="8"/>
      <c r="E350" s="8"/>
      <c r="F350" s="87"/>
      <c r="G350" s="8"/>
      <c r="H350" s="8"/>
      <c r="I350" s="8"/>
      <c r="J350" s="8"/>
      <c r="K350" s="8"/>
      <c r="L350" s="8"/>
      <c r="M350" s="8"/>
      <c r="N350" s="8"/>
      <c r="O350" s="8"/>
      <c r="P350" s="88"/>
      <c r="Q350" s="88"/>
      <c r="R350" s="49"/>
      <c r="S350" s="49"/>
      <c r="T350" s="49"/>
      <c r="U350" s="8"/>
      <c r="V350" s="8"/>
      <c r="W350" s="8"/>
      <c r="X350" s="8"/>
      <c r="Y350" s="8"/>
      <c r="Z350" s="8"/>
      <c r="AA350" s="31"/>
      <c r="AB350" s="32"/>
      <c r="AC350" s="8"/>
      <c r="AD350" s="8"/>
      <c r="AE350" s="8"/>
      <c r="AF350" s="8"/>
      <c r="AG350" s="33"/>
      <c r="AH350" s="34"/>
      <c r="AI350" s="35"/>
    </row>
    <row r="351" spans="1:35" ht="14">
      <c r="A351" s="8"/>
      <c r="B351" s="51" t="s">
        <v>1651</v>
      </c>
      <c r="C351" s="8"/>
      <c r="D351" s="8"/>
      <c r="E351" s="8"/>
      <c r="F351" s="87"/>
      <c r="G351" s="8"/>
      <c r="H351" s="8"/>
      <c r="I351" s="8"/>
      <c r="J351" s="8"/>
      <c r="K351" s="8"/>
      <c r="L351" s="8"/>
      <c r="M351" s="8"/>
      <c r="N351" s="8"/>
      <c r="O351" s="8"/>
      <c r="P351" s="88"/>
      <c r="Q351" s="88"/>
      <c r="R351" s="49"/>
      <c r="S351" s="49"/>
      <c r="T351" s="49"/>
      <c r="U351" s="8"/>
      <c r="V351" s="8"/>
      <c r="W351" s="8"/>
      <c r="X351" s="8"/>
      <c r="Y351" s="8"/>
      <c r="Z351" s="8"/>
      <c r="AA351" s="31"/>
      <c r="AB351" s="32"/>
      <c r="AC351" s="8"/>
      <c r="AD351" s="8"/>
      <c r="AE351" s="8"/>
      <c r="AF351" s="8"/>
      <c r="AG351" s="33"/>
      <c r="AH351" s="34"/>
      <c r="AI351" s="35"/>
    </row>
    <row r="352" spans="1:35" ht="13">
      <c r="A352" s="8"/>
      <c r="B352" s="8"/>
      <c r="C352" s="8"/>
      <c r="D352" s="8"/>
      <c r="E352" s="8"/>
      <c r="F352" s="87"/>
      <c r="G352" s="8"/>
      <c r="H352" s="8"/>
      <c r="I352" s="8"/>
      <c r="J352" s="8"/>
      <c r="K352" s="8"/>
      <c r="L352" s="8"/>
      <c r="M352" s="8"/>
      <c r="N352" s="8"/>
      <c r="O352" s="8"/>
      <c r="P352" s="88"/>
      <c r="Q352" s="88"/>
      <c r="R352" s="49"/>
      <c r="S352" s="49"/>
      <c r="T352" s="49"/>
      <c r="U352" s="8"/>
      <c r="V352" s="8"/>
      <c r="W352" s="8"/>
      <c r="X352" s="8"/>
      <c r="Y352" s="8"/>
      <c r="Z352" s="8"/>
      <c r="AA352" s="31"/>
      <c r="AB352" s="32"/>
      <c r="AC352" s="8"/>
      <c r="AD352" s="8"/>
      <c r="AE352" s="8"/>
      <c r="AF352" s="8"/>
      <c r="AG352" s="33"/>
      <c r="AH352" s="34"/>
      <c r="AI352" s="35"/>
    </row>
    <row r="353" spans="1:35" ht="16">
      <c r="A353" s="210"/>
      <c r="B353" s="211" t="s">
        <v>1655</v>
      </c>
      <c r="C353" s="212"/>
      <c r="D353" s="212"/>
      <c r="E353" s="212"/>
      <c r="F353" s="213"/>
      <c r="G353" s="212"/>
      <c r="H353" s="212"/>
      <c r="I353" s="212"/>
      <c r="J353" s="212"/>
      <c r="K353" s="212"/>
      <c r="L353" s="212"/>
      <c r="M353" s="212"/>
      <c r="N353" s="212"/>
      <c r="O353" s="212"/>
      <c r="P353" s="214"/>
      <c r="Q353" s="214"/>
      <c r="R353" s="215"/>
      <c r="S353" s="215"/>
      <c r="T353" s="215"/>
      <c r="U353" s="216"/>
      <c r="V353" s="216"/>
      <c r="W353" s="216"/>
      <c r="X353" s="216"/>
      <c r="Y353" s="216"/>
      <c r="Z353" s="216"/>
      <c r="AA353" s="212"/>
      <c r="AB353" s="212"/>
      <c r="AC353" s="212"/>
      <c r="AD353" s="212"/>
      <c r="AE353" s="212"/>
      <c r="AF353" s="212"/>
      <c r="AG353" s="212"/>
      <c r="AH353" s="35"/>
      <c r="AI353" s="35"/>
    </row>
    <row r="354" spans="1:35" ht="64.5" customHeight="1">
      <c r="A354" s="11"/>
      <c r="B354" s="217" t="s">
        <v>1658</v>
      </c>
      <c r="C354" s="218" t="s">
        <v>1659</v>
      </c>
      <c r="D354" s="219" t="s">
        <v>1661</v>
      </c>
      <c r="E354" s="220">
        <v>43831</v>
      </c>
      <c r="F354" s="221" t="s">
        <v>94</v>
      </c>
      <c r="G354" s="8"/>
      <c r="H354" s="8"/>
      <c r="I354" s="222"/>
      <c r="J354" s="58"/>
      <c r="K354" s="223">
        <v>1</v>
      </c>
      <c r="L354" s="224"/>
      <c r="M354" s="225"/>
      <c r="N354" s="8"/>
      <c r="O354" s="226"/>
      <c r="P354" s="227">
        <v>43466</v>
      </c>
      <c r="Q354" s="227">
        <v>45657</v>
      </c>
      <c r="R354" s="49"/>
      <c r="S354" s="49"/>
      <c r="T354" s="228" t="s">
        <v>96</v>
      </c>
      <c r="U354" s="229" t="s">
        <v>96</v>
      </c>
      <c r="V354" s="230"/>
      <c r="W354" s="65"/>
      <c r="X354" s="65"/>
      <c r="Y354" s="65"/>
      <c r="Z354" s="65"/>
      <c r="AA354" s="65"/>
      <c r="AB354" s="8"/>
      <c r="AC354" s="8"/>
      <c r="AD354" s="8"/>
      <c r="AE354" s="8"/>
      <c r="AF354" s="8"/>
      <c r="AG354" s="8"/>
      <c r="AH354" s="35"/>
      <c r="AI354" s="35"/>
    </row>
    <row r="355" spans="1:35" ht="384">
      <c r="A355" s="11"/>
      <c r="B355" s="217" t="s">
        <v>1664</v>
      </c>
      <c r="C355" s="231" t="s">
        <v>1665</v>
      </c>
      <c r="D355" s="219" t="s">
        <v>1661</v>
      </c>
      <c r="E355" s="232">
        <v>43862</v>
      </c>
      <c r="F355" s="87"/>
      <c r="G355" s="8"/>
      <c r="H355" s="8"/>
      <c r="I355" s="222"/>
      <c r="J355" s="58"/>
      <c r="K355" s="225"/>
      <c r="L355" s="225"/>
      <c r="M355" s="225"/>
      <c r="N355" s="8"/>
      <c r="O355" s="226"/>
      <c r="P355" s="227">
        <v>43466</v>
      </c>
      <c r="Q355" s="227">
        <v>45657</v>
      </c>
      <c r="R355" s="49"/>
      <c r="S355" s="49"/>
      <c r="T355" s="233"/>
      <c r="U355" s="234" t="s">
        <v>96</v>
      </c>
      <c r="V355" s="230"/>
      <c r="W355" s="230"/>
      <c r="X355" s="230"/>
      <c r="Y355" s="230"/>
      <c r="Z355" s="230"/>
      <c r="AA355" s="65"/>
      <c r="AB355" s="8"/>
      <c r="AC355" s="8"/>
      <c r="AD355" s="8"/>
      <c r="AE355" s="8"/>
      <c r="AF355" s="8"/>
      <c r="AG355" s="8"/>
      <c r="AH355" s="35"/>
      <c r="AI355" s="35"/>
    </row>
    <row r="356" spans="1:35" ht="397">
      <c r="A356" s="11"/>
      <c r="B356" s="217" t="s">
        <v>1667</v>
      </c>
      <c r="C356" s="231" t="s">
        <v>1669</v>
      </c>
      <c r="D356" s="219" t="s">
        <v>1661</v>
      </c>
      <c r="E356" s="232">
        <v>43891</v>
      </c>
      <c r="F356" s="87"/>
      <c r="G356" s="8"/>
      <c r="H356" s="8"/>
      <c r="I356" s="225"/>
      <c r="J356" s="8"/>
      <c r="K356" s="225"/>
      <c r="L356" s="225"/>
      <c r="M356" s="225"/>
      <c r="N356" s="8"/>
      <c r="O356" s="226"/>
      <c r="P356" s="227">
        <v>43466</v>
      </c>
      <c r="Q356" s="227">
        <v>45657</v>
      </c>
      <c r="R356" s="49"/>
      <c r="S356" s="49"/>
      <c r="T356" s="235"/>
      <c r="U356" s="234" t="s">
        <v>96</v>
      </c>
      <c r="V356" s="230"/>
      <c r="W356" s="230"/>
      <c r="X356" s="230"/>
      <c r="Y356" s="230"/>
      <c r="Z356" s="230"/>
      <c r="AA356" s="65"/>
      <c r="AB356" s="8"/>
      <c r="AC356" s="8"/>
      <c r="AD356" s="8"/>
      <c r="AE356" s="8"/>
      <c r="AF356" s="8"/>
      <c r="AG356" s="8"/>
      <c r="AH356" s="35"/>
      <c r="AI356" s="35"/>
    </row>
    <row r="357" spans="1:35" ht="182">
      <c r="A357" s="11"/>
      <c r="B357" s="217" t="s">
        <v>1670</v>
      </c>
      <c r="C357" s="231" t="s">
        <v>1671</v>
      </c>
      <c r="D357" s="219" t="s">
        <v>1661</v>
      </c>
      <c r="E357" s="232">
        <v>43922</v>
      </c>
      <c r="F357" s="87"/>
      <c r="G357" s="8"/>
      <c r="H357" s="8"/>
      <c r="I357" s="225"/>
      <c r="J357" s="8"/>
      <c r="K357" s="225"/>
      <c r="L357" s="225"/>
      <c r="M357" s="225"/>
      <c r="N357" s="8"/>
      <c r="O357" s="226"/>
      <c r="P357" s="227">
        <v>43466</v>
      </c>
      <c r="Q357" s="227">
        <v>43830</v>
      </c>
      <c r="R357" s="49"/>
      <c r="S357" s="49"/>
      <c r="T357" s="236"/>
      <c r="U357" s="229" t="s">
        <v>90</v>
      </c>
      <c r="V357" s="65"/>
      <c r="W357" s="65"/>
      <c r="X357" s="65"/>
      <c r="Y357" s="65"/>
      <c r="Z357" s="65"/>
      <c r="AA357" s="65"/>
      <c r="AB357" s="8"/>
      <c r="AC357" s="8"/>
      <c r="AD357" s="8"/>
      <c r="AE357" s="8"/>
      <c r="AF357" s="8"/>
      <c r="AG357" s="8"/>
      <c r="AH357" s="35"/>
      <c r="AI357" s="35"/>
    </row>
    <row r="358" spans="1:35" ht="332">
      <c r="A358" s="11"/>
      <c r="B358" s="217" t="s">
        <v>1672</v>
      </c>
      <c r="C358" s="231" t="s">
        <v>1673</v>
      </c>
      <c r="D358" s="219" t="s">
        <v>1661</v>
      </c>
      <c r="E358" s="232">
        <v>43952</v>
      </c>
      <c r="F358" s="87"/>
      <c r="G358" s="8"/>
      <c r="H358" s="8"/>
      <c r="I358" s="225"/>
      <c r="J358" s="8"/>
      <c r="K358" s="225"/>
      <c r="L358" s="225"/>
      <c r="M358" s="225"/>
      <c r="N358" s="8"/>
      <c r="O358" s="226"/>
      <c r="P358" s="227">
        <v>43466</v>
      </c>
      <c r="Q358" s="227">
        <v>45657</v>
      </c>
      <c r="R358" s="49"/>
      <c r="S358" s="49"/>
      <c r="T358" s="237"/>
      <c r="U358" s="238" t="s">
        <v>96</v>
      </c>
      <c r="V358" s="230"/>
      <c r="W358" s="230"/>
      <c r="X358" s="230"/>
      <c r="Y358" s="230"/>
      <c r="Z358" s="65"/>
      <c r="AA358" s="65"/>
      <c r="AB358" s="8"/>
      <c r="AC358" s="8"/>
      <c r="AD358" s="8"/>
      <c r="AE358" s="8"/>
      <c r="AF358" s="8"/>
      <c r="AG358" s="8"/>
      <c r="AH358" s="35"/>
      <c r="AI358" s="35"/>
    </row>
    <row r="359" spans="1:35" ht="70">
      <c r="A359" s="11"/>
      <c r="B359" s="217" t="s">
        <v>1677</v>
      </c>
      <c r="C359" s="231" t="s">
        <v>1678</v>
      </c>
      <c r="D359" s="219" t="s">
        <v>1661</v>
      </c>
      <c r="E359" s="232">
        <v>43983</v>
      </c>
      <c r="F359" s="87"/>
      <c r="G359" s="8"/>
      <c r="H359" s="8"/>
      <c r="I359" s="225"/>
      <c r="J359" s="8"/>
      <c r="K359" s="225"/>
      <c r="L359" s="225"/>
      <c r="M359" s="225"/>
      <c r="N359" s="8"/>
      <c r="O359" s="226"/>
      <c r="P359" s="227">
        <v>43466</v>
      </c>
      <c r="Q359" s="227">
        <v>45657</v>
      </c>
      <c r="R359" s="49"/>
      <c r="S359" s="49"/>
      <c r="T359" s="237"/>
      <c r="U359" s="238" t="s">
        <v>96</v>
      </c>
      <c r="V359" s="230"/>
      <c r="W359" s="230"/>
      <c r="X359" s="230"/>
      <c r="Y359" s="230"/>
      <c r="Z359" s="230"/>
      <c r="AA359" s="65"/>
      <c r="AB359" s="8"/>
      <c r="AC359" s="8"/>
      <c r="AD359" s="8"/>
      <c r="AE359" s="8"/>
      <c r="AF359" s="8"/>
      <c r="AG359" s="8"/>
      <c r="AH359" s="35"/>
      <c r="AI359" s="35"/>
    </row>
    <row r="360" spans="1:35" ht="84">
      <c r="A360" s="11"/>
      <c r="B360" s="217" t="s">
        <v>1679</v>
      </c>
      <c r="C360" s="231" t="s">
        <v>1680</v>
      </c>
      <c r="D360" s="219" t="s">
        <v>1661</v>
      </c>
      <c r="E360" s="232">
        <v>44013</v>
      </c>
      <c r="F360" s="87"/>
      <c r="G360" s="8"/>
      <c r="H360" s="8"/>
      <c r="I360" s="225"/>
      <c r="J360" s="8"/>
      <c r="K360" s="225"/>
      <c r="L360" s="225"/>
      <c r="M360" s="225"/>
      <c r="N360" s="8"/>
      <c r="O360" s="226"/>
      <c r="P360" s="227">
        <v>43466</v>
      </c>
      <c r="Q360" s="227">
        <v>44926</v>
      </c>
      <c r="R360" s="49"/>
      <c r="S360" s="49"/>
      <c r="T360" s="237"/>
      <c r="U360" s="238" t="s">
        <v>96</v>
      </c>
      <c r="V360" s="230"/>
      <c r="W360" s="230"/>
      <c r="X360" s="230"/>
      <c r="Y360" s="230"/>
      <c r="Z360" s="230"/>
      <c r="AA360" s="65"/>
      <c r="AB360" s="8"/>
      <c r="AC360" s="8"/>
      <c r="AD360" s="8"/>
      <c r="AE360" s="8"/>
      <c r="AF360" s="8"/>
      <c r="AG360" s="8"/>
      <c r="AH360" s="35"/>
      <c r="AI360" s="35"/>
    </row>
    <row r="361" spans="1:35" ht="70">
      <c r="A361" s="11"/>
      <c r="B361" s="217" t="s">
        <v>1681</v>
      </c>
      <c r="C361" s="231" t="s">
        <v>1682</v>
      </c>
      <c r="D361" s="219" t="s">
        <v>1661</v>
      </c>
      <c r="E361" s="232">
        <v>44044</v>
      </c>
      <c r="F361" s="87"/>
      <c r="G361" s="8"/>
      <c r="H361" s="8"/>
      <c r="I361" s="225"/>
      <c r="J361" s="8"/>
      <c r="K361" s="225"/>
      <c r="L361" s="225"/>
      <c r="M361" s="225"/>
      <c r="N361" s="8"/>
      <c r="O361" s="226"/>
      <c r="P361" s="227">
        <v>43466</v>
      </c>
      <c r="Q361" s="227">
        <v>44561</v>
      </c>
      <c r="R361" s="49"/>
      <c r="S361" s="49"/>
      <c r="T361" s="237"/>
      <c r="U361" s="238" t="s">
        <v>96</v>
      </c>
      <c r="V361" s="230"/>
      <c r="W361" s="230"/>
      <c r="X361" s="230"/>
      <c r="Y361" s="230"/>
      <c r="Z361" s="230"/>
      <c r="AA361" s="65"/>
      <c r="AB361" s="8"/>
      <c r="AC361" s="8"/>
      <c r="AD361" s="8"/>
      <c r="AE361" s="8"/>
      <c r="AF361" s="8"/>
      <c r="AG361" s="8"/>
      <c r="AH361" s="35"/>
      <c r="AI361" s="35"/>
    </row>
    <row r="362" spans="1:35" ht="84">
      <c r="A362" s="11"/>
      <c r="B362" s="217" t="s">
        <v>1685</v>
      </c>
      <c r="C362" s="231" t="s">
        <v>1686</v>
      </c>
      <c r="D362" s="219" t="s">
        <v>1661</v>
      </c>
      <c r="E362" s="232">
        <v>44075</v>
      </c>
      <c r="F362" s="87"/>
      <c r="G362" s="8"/>
      <c r="H362" s="8"/>
      <c r="I362" s="225"/>
      <c r="J362" s="8"/>
      <c r="K362" s="225"/>
      <c r="L362" s="225"/>
      <c r="M362" s="225"/>
      <c r="N362" s="8"/>
      <c r="O362" s="226"/>
      <c r="P362" s="227">
        <v>43466</v>
      </c>
      <c r="Q362" s="227">
        <v>44196</v>
      </c>
      <c r="R362" s="49"/>
      <c r="S362" s="49"/>
      <c r="T362" s="237"/>
      <c r="U362" s="238" t="s">
        <v>90</v>
      </c>
      <c r="V362" s="65"/>
      <c r="W362" s="65"/>
      <c r="X362" s="65"/>
      <c r="Y362" s="65"/>
      <c r="Z362" s="65"/>
      <c r="AA362" s="65"/>
      <c r="AB362" s="8"/>
      <c r="AC362" s="8"/>
      <c r="AD362" s="8"/>
      <c r="AE362" s="8"/>
      <c r="AF362" s="8"/>
      <c r="AG362" s="8"/>
      <c r="AH362" s="35"/>
      <c r="AI362" s="35"/>
    </row>
    <row r="363" spans="1:35" ht="126">
      <c r="A363" s="11"/>
      <c r="B363" s="217" t="s">
        <v>1687</v>
      </c>
      <c r="C363" s="231" t="s">
        <v>1688</v>
      </c>
      <c r="D363" s="219" t="s">
        <v>1661</v>
      </c>
      <c r="E363" s="239">
        <v>44105</v>
      </c>
      <c r="F363" s="87"/>
      <c r="G363" s="8"/>
      <c r="H363" s="8"/>
      <c r="I363" s="225"/>
      <c r="J363" s="8"/>
      <c r="K363" s="225"/>
      <c r="L363" s="225"/>
      <c r="M363" s="225"/>
      <c r="N363" s="8"/>
      <c r="O363" s="226"/>
      <c r="P363" s="227">
        <v>43466</v>
      </c>
      <c r="Q363" s="227">
        <v>43830</v>
      </c>
      <c r="R363" s="49"/>
      <c r="S363" s="49"/>
      <c r="T363" s="237"/>
      <c r="U363" s="238" t="s">
        <v>90</v>
      </c>
      <c r="V363" s="65"/>
      <c r="W363" s="65"/>
      <c r="X363" s="65"/>
      <c r="Y363" s="65"/>
      <c r="Z363" s="65"/>
      <c r="AA363" s="65"/>
      <c r="AB363" s="8"/>
      <c r="AC363" s="8"/>
      <c r="AD363" s="8"/>
      <c r="AE363" s="8"/>
      <c r="AF363" s="8"/>
      <c r="AG363" s="8"/>
      <c r="AH363" s="35"/>
      <c r="AI363" s="35"/>
    </row>
    <row r="364" spans="1:35" ht="98">
      <c r="A364" s="11"/>
      <c r="B364" s="217" t="s">
        <v>1451</v>
      </c>
      <c r="C364" s="231" t="s">
        <v>1689</v>
      </c>
      <c r="D364" s="219" t="s">
        <v>1661</v>
      </c>
      <c r="E364" s="240">
        <v>44136</v>
      </c>
      <c r="F364" s="87"/>
      <c r="G364" s="8"/>
      <c r="H364" s="8"/>
      <c r="I364" s="225"/>
      <c r="J364" s="8"/>
      <c r="K364" s="225"/>
      <c r="L364" s="225"/>
      <c r="M364" s="225"/>
      <c r="N364" s="8"/>
      <c r="O364" s="226"/>
      <c r="P364" s="227">
        <v>43466</v>
      </c>
      <c r="Q364" s="227">
        <v>45657</v>
      </c>
      <c r="R364" s="49"/>
      <c r="S364" s="49"/>
      <c r="T364" s="237"/>
      <c r="U364" s="238" t="s">
        <v>90</v>
      </c>
      <c r="V364" s="230"/>
      <c r="W364" s="230"/>
      <c r="X364" s="230"/>
      <c r="Y364" s="230"/>
      <c r="Z364" s="230"/>
      <c r="AA364" s="65"/>
      <c r="AB364" s="8"/>
      <c r="AC364" s="8"/>
      <c r="AD364" s="8"/>
      <c r="AE364" s="8"/>
      <c r="AF364" s="8"/>
      <c r="AG364" s="8"/>
      <c r="AH364" s="35"/>
      <c r="AI364" s="35"/>
    </row>
    <row r="365" spans="1:35" ht="70">
      <c r="A365" s="11"/>
      <c r="B365" s="217" t="s">
        <v>1692</v>
      </c>
      <c r="C365" s="231" t="s">
        <v>1693</v>
      </c>
      <c r="D365" s="219" t="s">
        <v>1661</v>
      </c>
      <c r="E365" s="239">
        <v>44166</v>
      </c>
      <c r="F365" s="87"/>
      <c r="G365" s="8"/>
      <c r="H365" s="8"/>
      <c r="I365" s="225"/>
      <c r="J365" s="8"/>
      <c r="K365" s="225"/>
      <c r="L365" s="225"/>
      <c r="M365" s="225"/>
      <c r="N365" s="8"/>
      <c r="O365" s="226"/>
      <c r="P365" s="227">
        <v>43466</v>
      </c>
      <c r="Q365" s="227">
        <v>45657</v>
      </c>
      <c r="R365" s="49"/>
      <c r="S365" s="49"/>
      <c r="T365" s="237"/>
      <c r="U365" s="238" t="s">
        <v>96</v>
      </c>
      <c r="V365" s="230"/>
      <c r="W365" s="230"/>
      <c r="X365" s="230"/>
      <c r="Y365" s="230"/>
      <c r="Z365" s="230"/>
      <c r="AA365" s="65"/>
      <c r="AB365" s="8"/>
      <c r="AC365" s="8"/>
      <c r="AD365" s="8"/>
      <c r="AE365" s="8"/>
      <c r="AF365" s="8"/>
      <c r="AG365" s="8"/>
      <c r="AH365" s="35"/>
      <c r="AI365" s="35"/>
    </row>
    <row r="366" spans="1:35" ht="168">
      <c r="A366" s="11"/>
      <c r="B366" s="217" t="s">
        <v>1694</v>
      </c>
      <c r="C366" s="231" t="s">
        <v>1695</v>
      </c>
      <c r="D366" s="219" t="s">
        <v>1661</v>
      </c>
      <c r="E366" s="241" t="s">
        <v>428</v>
      </c>
      <c r="F366" s="87"/>
      <c r="G366" s="8"/>
      <c r="H366" s="8"/>
      <c r="I366" s="225"/>
      <c r="J366" s="8"/>
      <c r="K366" s="225"/>
      <c r="L366" s="225"/>
      <c r="M366" s="225"/>
      <c r="N366" s="8"/>
      <c r="O366" s="226"/>
      <c r="P366" s="227">
        <v>43466</v>
      </c>
      <c r="Q366" s="227">
        <v>45536</v>
      </c>
      <c r="R366" s="49"/>
      <c r="S366" s="49"/>
      <c r="T366" s="237"/>
      <c r="U366" s="238" t="s">
        <v>96</v>
      </c>
      <c r="V366" s="230"/>
      <c r="W366" s="230"/>
      <c r="X366" s="230"/>
      <c r="Y366" s="230"/>
      <c r="Z366" s="230"/>
      <c r="AA366" s="65"/>
      <c r="AB366" s="8"/>
      <c r="AC366" s="8"/>
      <c r="AD366" s="8"/>
      <c r="AE366" s="8"/>
      <c r="AF366" s="8"/>
      <c r="AG366" s="8"/>
      <c r="AH366" s="35"/>
      <c r="AI366" s="35"/>
    </row>
    <row r="367" spans="1:35" ht="252">
      <c r="A367" s="11"/>
      <c r="B367" s="217" t="s">
        <v>1696</v>
      </c>
      <c r="C367" s="231" t="s">
        <v>1697</v>
      </c>
      <c r="D367" s="219" t="s">
        <v>1661</v>
      </c>
      <c r="E367" s="241" t="s">
        <v>431</v>
      </c>
      <c r="F367" s="87"/>
      <c r="G367" s="8"/>
      <c r="H367" s="8"/>
      <c r="I367" s="225"/>
      <c r="J367" s="8"/>
      <c r="K367" s="225"/>
      <c r="L367" s="225"/>
      <c r="M367" s="225"/>
      <c r="N367" s="8"/>
      <c r="O367" s="226"/>
      <c r="P367" s="227">
        <v>43466</v>
      </c>
      <c r="Q367" s="227">
        <v>45657</v>
      </c>
      <c r="R367" s="49"/>
      <c r="S367" s="49"/>
      <c r="T367" s="237"/>
      <c r="U367" s="238" t="s">
        <v>90</v>
      </c>
      <c r="V367" s="230"/>
      <c r="W367" s="230"/>
      <c r="X367" s="230"/>
      <c r="Y367" s="230"/>
      <c r="Z367" s="230"/>
      <c r="AA367" s="65"/>
      <c r="AB367" s="8"/>
      <c r="AC367" s="8"/>
      <c r="AD367" s="8"/>
      <c r="AE367" s="8"/>
      <c r="AF367" s="8"/>
      <c r="AG367" s="8"/>
      <c r="AH367" s="35"/>
      <c r="AI367" s="35"/>
    </row>
    <row r="368" spans="1:35" ht="196">
      <c r="A368" s="11"/>
      <c r="B368" s="217" t="s">
        <v>1701</v>
      </c>
      <c r="C368" s="231" t="s">
        <v>1702</v>
      </c>
      <c r="D368" s="219" t="s">
        <v>1661</v>
      </c>
      <c r="E368" s="241" t="s">
        <v>434</v>
      </c>
      <c r="F368" s="87"/>
      <c r="G368" s="8"/>
      <c r="H368" s="8"/>
      <c r="I368" s="225"/>
      <c r="J368" s="8"/>
      <c r="K368" s="225"/>
      <c r="L368" s="225"/>
      <c r="M368" s="225"/>
      <c r="N368" s="8"/>
      <c r="O368" s="226"/>
      <c r="P368" s="227">
        <v>43466</v>
      </c>
      <c r="Q368" s="227">
        <v>45657</v>
      </c>
      <c r="R368" s="49"/>
      <c r="S368" s="49"/>
      <c r="T368" s="237"/>
      <c r="U368" s="238" t="s">
        <v>96</v>
      </c>
      <c r="V368" s="230"/>
      <c r="W368" s="230"/>
      <c r="X368" s="230"/>
      <c r="Y368" s="230"/>
      <c r="Z368" s="230"/>
      <c r="AA368" s="65"/>
      <c r="AB368" s="8"/>
      <c r="AC368" s="8"/>
      <c r="AD368" s="8"/>
      <c r="AE368" s="8"/>
      <c r="AF368" s="8"/>
      <c r="AG368" s="8"/>
      <c r="AH368" s="35"/>
      <c r="AI368" s="35"/>
    </row>
    <row r="369" spans="1:35" ht="126">
      <c r="A369" s="11"/>
      <c r="B369" s="217" t="s">
        <v>1703</v>
      </c>
      <c r="C369" s="231" t="s">
        <v>1704</v>
      </c>
      <c r="D369" s="219" t="s">
        <v>1661</v>
      </c>
      <c r="E369" s="241" t="s">
        <v>437</v>
      </c>
      <c r="F369" s="87"/>
      <c r="G369" s="8"/>
      <c r="H369" s="8"/>
      <c r="I369" s="225"/>
      <c r="J369" s="8"/>
      <c r="K369" s="225"/>
      <c r="L369" s="225"/>
      <c r="M369" s="225"/>
      <c r="N369" s="8"/>
      <c r="O369" s="226"/>
      <c r="P369" s="227">
        <v>43466</v>
      </c>
      <c r="Q369" s="227">
        <v>44926</v>
      </c>
      <c r="R369" s="49"/>
      <c r="S369" s="49"/>
      <c r="T369" s="237"/>
      <c r="U369" s="238" t="s">
        <v>90</v>
      </c>
      <c r="V369" s="230"/>
      <c r="W369" s="230"/>
      <c r="X369" s="230"/>
      <c r="Y369" s="230"/>
      <c r="Z369" s="230"/>
      <c r="AA369" s="65"/>
      <c r="AB369" s="8"/>
      <c r="AC369" s="8"/>
      <c r="AD369" s="8"/>
      <c r="AE369" s="8"/>
      <c r="AF369" s="8"/>
      <c r="AG369" s="8"/>
      <c r="AH369" s="35"/>
      <c r="AI369" s="35"/>
    </row>
    <row r="370" spans="1:35" ht="84">
      <c r="A370" s="11"/>
      <c r="B370" s="217" t="s">
        <v>1705</v>
      </c>
      <c r="C370" s="231" t="s">
        <v>1706</v>
      </c>
      <c r="D370" s="219" t="s">
        <v>1661</v>
      </c>
      <c r="E370" s="241" t="s">
        <v>442</v>
      </c>
      <c r="F370" s="87"/>
      <c r="G370" s="8"/>
      <c r="H370" s="8"/>
      <c r="I370" s="225"/>
      <c r="J370" s="8"/>
      <c r="K370" s="225"/>
      <c r="L370" s="225"/>
      <c r="M370" s="225"/>
      <c r="N370" s="8"/>
      <c r="O370" s="226"/>
      <c r="P370" s="227">
        <v>43466</v>
      </c>
      <c r="Q370" s="227">
        <v>45657</v>
      </c>
      <c r="R370" s="49"/>
      <c r="S370" s="49"/>
      <c r="T370" s="237"/>
      <c r="U370" s="238" t="s">
        <v>90</v>
      </c>
      <c r="V370" s="230"/>
      <c r="W370" s="230"/>
      <c r="X370" s="230"/>
      <c r="Y370" s="230"/>
      <c r="Z370" s="230"/>
      <c r="AA370" s="65"/>
      <c r="AB370" s="8"/>
      <c r="AC370" s="8"/>
      <c r="AD370" s="8"/>
      <c r="AE370" s="8"/>
      <c r="AF370" s="8"/>
      <c r="AG370" s="8"/>
      <c r="AH370" s="35"/>
      <c r="AI370" s="35"/>
    </row>
    <row r="371" spans="1:35" ht="168">
      <c r="A371" s="11"/>
      <c r="B371" s="217" t="s">
        <v>1709</v>
      </c>
      <c r="C371" s="231" t="s">
        <v>1710</v>
      </c>
      <c r="D371" s="219" t="s">
        <v>1661</v>
      </c>
      <c r="E371" s="241" t="s">
        <v>445</v>
      </c>
      <c r="F371" s="87"/>
      <c r="G371" s="8"/>
      <c r="H371" s="8"/>
      <c r="I371" s="225"/>
      <c r="J371" s="8"/>
      <c r="K371" s="225"/>
      <c r="L371" s="225"/>
      <c r="M371" s="225"/>
      <c r="N371" s="8"/>
      <c r="O371" s="226"/>
      <c r="P371" s="227">
        <v>43466</v>
      </c>
      <c r="Q371" s="227">
        <v>45657</v>
      </c>
      <c r="R371" s="49"/>
      <c r="S371" s="49"/>
      <c r="T371" s="237"/>
      <c r="U371" s="238" t="s">
        <v>96</v>
      </c>
      <c r="V371" s="230"/>
      <c r="W371" s="230"/>
      <c r="X371" s="230"/>
      <c r="Y371" s="230"/>
      <c r="Z371" s="230"/>
      <c r="AA371" s="65"/>
      <c r="AB371" s="8"/>
      <c r="AC371" s="8"/>
      <c r="AD371" s="8"/>
      <c r="AE371" s="8"/>
      <c r="AF371" s="8"/>
      <c r="AG371" s="8"/>
      <c r="AH371" s="35"/>
      <c r="AI371" s="35"/>
    </row>
    <row r="372" spans="1:35" ht="182">
      <c r="A372" s="11"/>
      <c r="B372" s="217" t="s">
        <v>1711</v>
      </c>
      <c r="C372" s="231" t="s">
        <v>1712</v>
      </c>
      <c r="D372" s="219" t="s">
        <v>1661</v>
      </c>
      <c r="E372" s="241" t="s">
        <v>448</v>
      </c>
      <c r="F372" s="87"/>
      <c r="G372" s="8"/>
      <c r="H372" s="8"/>
      <c r="I372" s="225"/>
      <c r="J372" s="8"/>
      <c r="K372" s="225"/>
      <c r="L372" s="225"/>
      <c r="M372" s="225"/>
      <c r="N372" s="8"/>
      <c r="O372" s="226"/>
      <c r="P372" s="227">
        <v>43466</v>
      </c>
      <c r="Q372" s="227">
        <v>45657</v>
      </c>
      <c r="R372" s="49"/>
      <c r="S372" s="49"/>
      <c r="T372" s="237"/>
      <c r="U372" s="238" t="s">
        <v>96</v>
      </c>
      <c r="V372" s="242"/>
      <c r="W372" s="242"/>
      <c r="X372" s="242"/>
      <c r="Y372" s="242"/>
      <c r="Z372" s="242"/>
      <c r="AA372" s="65"/>
      <c r="AB372" s="8"/>
      <c r="AC372" s="8"/>
      <c r="AD372" s="8"/>
      <c r="AE372" s="8"/>
      <c r="AF372" s="8"/>
      <c r="AG372" s="8"/>
      <c r="AH372" s="35"/>
      <c r="AI372" s="35"/>
    </row>
    <row r="373" spans="1:35" ht="70">
      <c r="A373" s="11"/>
      <c r="B373" s="217" t="s">
        <v>1715</v>
      </c>
      <c r="C373" s="231" t="s">
        <v>1716</v>
      </c>
      <c r="D373" s="219" t="s">
        <v>1661</v>
      </c>
      <c r="E373" s="241" t="s">
        <v>453</v>
      </c>
      <c r="F373" s="87"/>
      <c r="G373" s="8"/>
      <c r="H373" s="8"/>
      <c r="I373" s="225"/>
      <c r="J373" s="8"/>
      <c r="K373" s="225"/>
      <c r="L373" s="225"/>
      <c r="M373" s="225"/>
      <c r="N373" s="8"/>
      <c r="O373" s="226"/>
      <c r="P373" s="227">
        <v>43466</v>
      </c>
      <c r="Q373" s="227">
        <v>45657</v>
      </c>
      <c r="R373" s="49"/>
      <c r="S373" s="49"/>
      <c r="T373" s="237"/>
      <c r="U373" s="238" t="s">
        <v>96</v>
      </c>
      <c r="V373" s="65"/>
      <c r="W373" s="65"/>
      <c r="X373" s="65"/>
      <c r="Y373" s="65"/>
      <c r="Z373" s="65"/>
      <c r="AA373" s="65"/>
      <c r="AB373" s="8"/>
      <c r="AC373" s="8"/>
      <c r="AD373" s="8"/>
      <c r="AE373" s="8"/>
      <c r="AF373" s="8"/>
      <c r="AG373" s="8"/>
      <c r="AH373" s="35"/>
      <c r="AI373" s="35"/>
    </row>
    <row r="374" spans="1:35" ht="293">
      <c r="A374" s="11"/>
      <c r="B374" s="217" t="s">
        <v>1717</v>
      </c>
      <c r="C374" s="231" t="s">
        <v>1718</v>
      </c>
      <c r="D374" s="219" t="s">
        <v>1661</v>
      </c>
      <c r="E374" s="241" t="s">
        <v>1527</v>
      </c>
      <c r="F374" s="87"/>
      <c r="G374" s="8"/>
      <c r="H374" s="8"/>
      <c r="I374" s="225"/>
      <c r="J374" s="8"/>
      <c r="K374" s="225"/>
      <c r="L374" s="225"/>
      <c r="M374" s="225"/>
      <c r="N374" s="8"/>
      <c r="O374" s="226"/>
      <c r="P374" s="227">
        <v>43466</v>
      </c>
      <c r="Q374" s="227">
        <v>45657</v>
      </c>
      <c r="R374" s="49"/>
      <c r="S374" s="49"/>
      <c r="T374" s="237"/>
      <c r="U374" s="238" t="s">
        <v>96</v>
      </c>
      <c r="V374" s="65"/>
      <c r="W374" s="65"/>
      <c r="X374" s="65"/>
      <c r="Y374" s="65"/>
      <c r="Z374" s="65"/>
      <c r="AA374" s="65"/>
      <c r="AB374" s="8"/>
      <c r="AC374" s="8"/>
      <c r="AD374" s="8"/>
      <c r="AE374" s="8"/>
      <c r="AF374" s="8"/>
      <c r="AG374" s="8"/>
      <c r="AH374" s="35"/>
      <c r="AI374" s="35"/>
    </row>
    <row r="375" spans="1:35" ht="84">
      <c r="A375" s="11"/>
      <c r="B375" s="217" t="s">
        <v>1719</v>
      </c>
      <c r="C375" s="231" t="s">
        <v>1720</v>
      </c>
      <c r="D375" s="219" t="s">
        <v>1661</v>
      </c>
      <c r="E375" s="241" t="s">
        <v>1532</v>
      </c>
      <c r="F375" s="87"/>
      <c r="G375" s="8"/>
      <c r="H375" s="8"/>
      <c r="I375" s="225"/>
      <c r="J375" s="8"/>
      <c r="K375" s="225"/>
      <c r="L375" s="225"/>
      <c r="M375" s="225"/>
      <c r="N375" s="8"/>
      <c r="O375" s="226"/>
      <c r="P375" s="227">
        <v>43466</v>
      </c>
      <c r="Q375" s="227">
        <v>45657</v>
      </c>
      <c r="R375" s="49"/>
      <c r="S375" s="49"/>
      <c r="T375" s="237"/>
      <c r="U375" s="238" t="s">
        <v>96</v>
      </c>
      <c r="V375" s="65"/>
      <c r="W375" s="65"/>
      <c r="X375" s="65"/>
      <c r="Y375" s="65"/>
      <c r="Z375" s="65"/>
      <c r="AA375" s="65"/>
      <c r="AB375" s="8"/>
      <c r="AC375" s="8"/>
      <c r="AD375" s="8"/>
      <c r="AE375" s="8"/>
      <c r="AF375" s="8"/>
      <c r="AG375" s="8"/>
      <c r="AH375" s="35"/>
      <c r="AI375" s="35"/>
    </row>
    <row r="376" spans="1:35" ht="56">
      <c r="A376" s="11"/>
      <c r="B376" s="217" t="s">
        <v>1717</v>
      </c>
      <c r="C376" s="197" t="s">
        <v>1723</v>
      </c>
      <c r="D376" s="219" t="s">
        <v>1661</v>
      </c>
      <c r="E376" s="241" t="s">
        <v>1535</v>
      </c>
      <c r="F376" s="87"/>
      <c r="G376" s="8"/>
      <c r="H376" s="8"/>
      <c r="I376" s="225"/>
      <c r="J376" s="8"/>
      <c r="K376" s="225"/>
      <c r="L376" s="225"/>
      <c r="M376" s="225"/>
      <c r="N376" s="8"/>
      <c r="O376" s="226"/>
      <c r="P376" s="227">
        <v>43466</v>
      </c>
      <c r="Q376" s="227">
        <v>45657</v>
      </c>
      <c r="R376" s="49"/>
      <c r="S376" s="49"/>
      <c r="T376" s="237"/>
      <c r="U376" s="238" t="s">
        <v>96</v>
      </c>
      <c r="V376" s="230"/>
      <c r="W376" s="230"/>
      <c r="X376" s="230"/>
      <c r="Y376" s="230"/>
      <c r="Z376" s="230"/>
      <c r="AA376" s="65"/>
      <c r="AB376" s="8"/>
      <c r="AC376" s="8"/>
      <c r="AD376" s="8"/>
      <c r="AE376" s="8"/>
      <c r="AF376" s="8"/>
      <c r="AG376" s="8"/>
      <c r="AH376" s="35"/>
      <c r="AI376" s="35"/>
    </row>
    <row r="377" spans="1:35" ht="210">
      <c r="A377" s="11"/>
      <c r="B377" s="217" t="s">
        <v>1322</v>
      </c>
      <c r="C377" s="231" t="s">
        <v>1724</v>
      </c>
      <c r="D377" s="219" t="s">
        <v>1661</v>
      </c>
      <c r="E377" s="241" t="s">
        <v>1538</v>
      </c>
      <c r="F377" s="87"/>
      <c r="G377" s="8"/>
      <c r="H377" s="8"/>
      <c r="I377" s="225"/>
      <c r="J377" s="8"/>
      <c r="K377" s="225"/>
      <c r="L377" s="225"/>
      <c r="M377" s="225"/>
      <c r="N377" s="8"/>
      <c r="O377" s="226"/>
      <c r="P377" s="227">
        <v>43466</v>
      </c>
      <c r="Q377" s="227">
        <v>45657</v>
      </c>
      <c r="R377" s="49"/>
      <c r="S377" s="49"/>
      <c r="T377" s="237"/>
      <c r="U377" s="238" t="s">
        <v>90</v>
      </c>
      <c r="V377" s="65"/>
      <c r="W377" s="65"/>
      <c r="X377" s="65"/>
      <c r="Y377" s="65"/>
      <c r="Z377" s="65"/>
      <c r="AA377" s="65"/>
      <c r="AB377" s="8"/>
      <c r="AC377" s="8"/>
      <c r="AD377" s="8"/>
      <c r="AE377" s="8"/>
      <c r="AF377" s="8"/>
      <c r="AG377" s="8"/>
      <c r="AH377" s="35"/>
      <c r="AI377" s="35"/>
    </row>
    <row r="378" spans="1:35" ht="14">
      <c r="A378" s="243"/>
      <c r="B378" s="192" t="s">
        <v>1727</v>
      </c>
      <c r="C378" s="244"/>
      <c r="D378" s="84"/>
      <c r="E378" s="84"/>
      <c r="F378" s="193"/>
      <c r="G378" s="84"/>
      <c r="H378" s="84"/>
      <c r="I378" s="244"/>
      <c r="J378" s="84"/>
      <c r="K378" s="244"/>
      <c r="L378" s="244"/>
      <c r="M378" s="244"/>
      <c r="N378" s="84"/>
      <c r="O378" s="84"/>
      <c r="P378" s="85"/>
      <c r="Q378" s="85"/>
      <c r="R378" s="86"/>
      <c r="S378" s="86"/>
      <c r="T378" s="245"/>
      <c r="U378" s="84"/>
      <c r="V378" s="84"/>
      <c r="W378" s="84"/>
      <c r="X378" s="84"/>
      <c r="Y378" s="84"/>
      <c r="Z378" s="84"/>
      <c r="AA378" s="84"/>
      <c r="AB378" s="84"/>
      <c r="AC378" s="84"/>
      <c r="AD378" s="84"/>
      <c r="AE378" s="84"/>
      <c r="AF378" s="84"/>
      <c r="AG378" s="84"/>
      <c r="AH378" s="35"/>
      <c r="AI378" s="35"/>
    </row>
    <row r="379" spans="1:35" ht="13">
      <c r="A379" s="8"/>
      <c r="B379" s="8"/>
      <c r="C379" s="8"/>
      <c r="D379" s="8"/>
      <c r="E379" s="8"/>
      <c r="F379" s="87"/>
      <c r="G379" s="8"/>
      <c r="H379" s="8"/>
      <c r="I379" s="8"/>
      <c r="J379" s="8"/>
      <c r="K379" s="8"/>
      <c r="L379" s="8"/>
      <c r="M379" s="8"/>
      <c r="N379" s="8"/>
      <c r="O379" s="8"/>
      <c r="P379" s="88"/>
      <c r="Q379" s="88"/>
      <c r="R379" s="49"/>
      <c r="S379" s="49"/>
      <c r="T379" s="49"/>
      <c r="U379" s="8"/>
      <c r="V379" s="8"/>
      <c r="W379" s="8"/>
      <c r="X379" s="8"/>
      <c r="Y379" s="8"/>
      <c r="Z379" s="8"/>
      <c r="AA379" s="31"/>
      <c r="AB379" s="32"/>
      <c r="AC379" s="8"/>
      <c r="AD379" s="8"/>
      <c r="AE379" s="8"/>
      <c r="AF379" s="8"/>
      <c r="AG379" s="33"/>
      <c r="AH379" s="34"/>
      <c r="AI379" s="35"/>
    </row>
    <row r="380" spans="1:35" ht="42">
      <c r="A380" s="246" t="s">
        <v>1728</v>
      </c>
      <c r="B380" s="192" t="s">
        <v>1731</v>
      </c>
      <c r="C380" s="244"/>
      <c r="D380" s="84"/>
      <c r="E380" s="84"/>
      <c r="F380" s="193"/>
      <c r="G380" s="84"/>
      <c r="H380" s="84"/>
      <c r="I380" s="84"/>
      <c r="J380" s="244"/>
      <c r="K380" s="84"/>
      <c r="L380" s="244"/>
      <c r="M380" s="244"/>
      <c r="N380" s="244"/>
      <c r="O380" s="84"/>
      <c r="P380" s="85"/>
      <c r="Q380" s="85"/>
      <c r="R380" s="245"/>
      <c r="S380" s="86"/>
      <c r="T380" s="86"/>
      <c r="U380" s="84"/>
      <c r="V380" s="84"/>
      <c r="W380" s="84"/>
      <c r="X380" s="84"/>
      <c r="Y380" s="84"/>
      <c r="Z380" s="84"/>
      <c r="AA380" s="194"/>
      <c r="AB380" s="195"/>
      <c r="AC380" s="84"/>
      <c r="AD380" s="84"/>
      <c r="AE380" s="84"/>
      <c r="AF380" s="84"/>
      <c r="AG380" s="196"/>
      <c r="AH380" s="247"/>
      <c r="AI380" s="84"/>
    </row>
    <row r="381" spans="1:35" ht="78" customHeight="1">
      <c r="A381" s="8"/>
      <c r="B381" s="4" t="s">
        <v>1732</v>
      </c>
      <c r="C381" s="4" t="s">
        <v>1733</v>
      </c>
      <c r="D381" s="4" t="s">
        <v>707</v>
      </c>
      <c r="E381" s="4" t="s">
        <v>860</v>
      </c>
      <c r="F381" s="43" t="s">
        <v>290</v>
      </c>
      <c r="G381" s="8"/>
      <c r="H381" s="8"/>
      <c r="I381" s="8"/>
      <c r="J381" s="4" t="s">
        <v>20</v>
      </c>
      <c r="K381" s="4" t="s">
        <v>1734</v>
      </c>
      <c r="L381" s="4">
        <v>1</v>
      </c>
      <c r="M381" s="4">
        <v>0</v>
      </c>
      <c r="N381" s="4">
        <v>0</v>
      </c>
      <c r="O381" s="8"/>
      <c r="P381" s="45">
        <v>43466</v>
      </c>
      <c r="Q381" s="45">
        <v>43922</v>
      </c>
      <c r="R381" s="49"/>
      <c r="S381" s="49"/>
      <c r="T381" s="49"/>
      <c r="U381" s="4" t="s">
        <v>90</v>
      </c>
      <c r="V381" s="8"/>
      <c r="W381" s="8"/>
      <c r="X381" s="8"/>
      <c r="Y381" s="8"/>
      <c r="Z381" s="8"/>
      <c r="AA381" s="31"/>
      <c r="AB381" s="32"/>
      <c r="AC381" s="8"/>
      <c r="AD381" s="8"/>
      <c r="AE381" s="8"/>
      <c r="AF381" s="8"/>
      <c r="AG381" s="33"/>
      <c r="AH381" s="34"/>
      <c r="AI381" s="35"/>
    </row>
    <row r="382" spans="1:35" ht="168">
      <c r="A382" s="8"/>
      <c r="B382" s="4" t="s">
        <v>1735</v>
      </c>
      <c r="C382" s="4" t="s">
        <v>1736</v>
      </c>
      <c r="D382" s="4" t="s">
        <v>707</v>
      </c>
      <c r="E382" s="4" t="s">
        <v>860</v>
      </c>
      <c r="F382" s="43" t="s">
        <v>309</v>
      </c>
      <c r="G382" s="8"/>
      <c r="H382" s="8"/>
      <c r="I382" s="8"/>
      <c r="J382" s="4" t="s">
        <v>20</v>
      </c>
      <c r="K382" s="4" t="s">
        <v>1737</v>
      </c>
      <c r="L382" s="4">
        <v>1</v>
      </c>
      <c r="M382" s="4">
        <v>1</v>
      </c>
      <c r="N382" s="4">
        <v>1</v>
      </c>
      <c r="O382" s="8"/>
      <c r="P382" s="45">
        <v>43466</v>
      </c>
      <c r="Q382" s="45">
        <v>45657</v>
      </c>
      <c r="R382" s="49"/>
      <c r="S382" s="49"/>
      <c r="T382" s="49"/>
      <c r="U382" s="73" t="s">
        <v>90</v>
      </c>
      <c r="V382" s="8"/>
      <c r="W382" s="8"/>
      <c r="X382" s="8"/>
      <c r="Y382" s="8"/>
      <c r="Z382" s="8"/>
      <c r="AA382" s="31"/>
      <c r="AB382" s="32"/>
      <c r="AC382" s="8"/>
      <c r="AD382" s="8"/>
      <c r="AE382" s="8"/>
      <c r="AF382" s="8"/>
      <c r="AG382" s="33"/>
      <c r="AH382" s="34"/>
      <c r="AI382" s="35"/>
    </row>
    <row r="383" spans="1:35" ht="112">
      <c r="A383" s="8"/>
      <c r="B383" s="4" t="s">
        <v>1740</v>
      </c>
      <c r="C383" s="4" t="s">
        <v>1741</v>
      </c>
      <c r="D383" s="4" t="s">
        <v>707</v>
      </c>
      <c r="E383" s="4" t="s">
        <v>860</v>
      </c>
      <c r="F383" s="43" t="s">
        <v>317</v>
      </c>
      <c r="G383" s="8"/>
      <c r="H383" s="8"/>
      <c r="I383" s="8"/>
      <c r="J383" s="4" t="s">
        <v>20</v>
      </c>
      <c r="K383" s="4" t="s">
        <v>1742</v>
      </c>
      <c r="L383" s="4">
        <v>1</v>
      </c>
      <c r="M383" s="4">
        <v>0</v>
      </c>
      <c r="N383" s="4">
        <v>0</v>
      </c>
      <c r="O383" s="8"/>
      <c r="P383" s="45">
        <v>43466</v>
      </c>
      <c r="Q383" s="45">
        <v>43784</v>
      </c>
      <c r="R383" s="49"/>
      <c r="S383" s="49"/>
      <c r="T383" s="49"/>
      <c r="U383" s="4" t="s">
        <v>90</v>
      </c>
      <c r="V383" s="8"/>
      <c r="W383" s="8"/>
      <c r="X383" s="8"/>
      <c r="Y383" s="8"/>
      <c r="Z383" s="8"/>
      <c r="AA383" s="31"/>
      <c r="AB383" s="32"/>
      <c r="AC383" s="8"/>
      <c r="AD383" s="8"/>
      <c r="AE383" s="8"/>
      <c r="AF383" s="8"/>
      <c r="AG383" s="33"/>
      <c r="AH383" s="34"/>
      <c r="AI383" s="35"/>
    </row>
    <row r="384" spans="1:35" ht="140">
      <c r="A384" s="8"/>
      <c r="B384" s="4" t="s">
        <v>1743</v>
      </c>
      <c r="C384" s="4" t="s">
        <v>1744</v>
      </c>
      <c r="D384" s="4" t="s">
        <v>707</v>
      </c>
      <c r="E384" s="4" t="s">
        <v>860</v>
      </c>
      <c r="F384" s="43" t="s">
        <v>322</v>
      </c>
      <c r="G384" s="4">
        <v>7</v>
      </c>
      <c r="H384" s="4">
        <v>1</v>
      </c>
      <c r="I384" s="4" t="s">
        <v>1745</v>
      </c>
      <c r="J384" s="4" t="s">
        <v>20</v>
      </c>
      <c r="K384" s="4" t="s">
        <v>1746</v>
      </c>
      <c r="L384" s="4">
        <v>1</v>
      </c>
      <c r="M384" s="4">
        <v>1</v>
      </c>
      <c r="N384" s="4">
        <v>1</v>
      </c>
      <c r="O384" s="8"/>
      <c r="P384" s="45">
        <v>43466</v>
      </c>
      <c r="Q384" s="45">
        <v>45657</v>
      </c>
      <c r="R384" s="49"/>
      <c r="S384" s="49"/>
      <c r="T384" s="49"/>
      <c r="U384" s="4" t="s">
        <v>96</v>
      </c>
      <c r="V384" s="4"/>
      <c r="W384" s="4">
        <v>1884.81</v>
      </c>
      <c r="X384" s="4">
        <v>1884.81</v>
      </c>
      <c r="Y384" s="4">
        <v>2447.25</v>
      </c>
      <c r="Z384" s="4">
        <v>2446.9</v>
      </c>
      <c r="AA384" s="21">
        <v>2446.9</v>
      </c>
      <c r="AB384" s="32"/>
      <c r="AC384" s="4">
        <v>1884.808</v>
      </c>
      <c r="AD384" s="4">
        <v>1884.808</v>
      </c>
      <c r="AE384" s="4">
        <v>2447.252</v>
      </c>
      <c r="AF384" s="8"/>
      <c r="AG384" s="33"/>
      <c r="AH384" s="47" t="s">
        <v>1749</v>
      </c>
      <c r="AI384" s="48" t="s">
        <v>1622</v>
      </c>
    </row>
    <row r="385" spans="1:35" ht="84">
      <c r="A385" s="8"/>
      <c r="B385" s="4" t="s">
        <v>1750</v>
      </c>
      <c r="C385" s="4" t="s">
        <v>1751</v>
      </c>
      <c r="D385" s="4" t="s">
        <v>707</v>
      </c>
      <c r="E385" s="4" t="s">
        <v>860</v>
      </c>
      <c r="F385" s="43" t="s">
        <v>329</v>
      </c>
      <c r="G385" s="8"/>
      <c r="H385" s="8"/>
      <c r="I385" s="8"/>
      <c r="J385" s="4" t="s">
        <v>20</v>
      </c>
      <c r="K385" s="4" t="s">
        <v>1752</v>
      </c>
      <c r="L385" s="4">
        <v>1</v>
      </c>
      <c r="M385" s="4">
        <v>0</v>
      </c>
      <c r="N385" s="4">
        <v>0</v>
      </c>
      <c r="O385" s="8"/>
      <c r="P385" s="45">
        <v>43466</v>
      </c>
      <c r="Q385" s="45">
        <v>43830</v>
      </c>
      <c r="R385" s="49"/>
      <c r="S385" s="49"/>
      <c r="T385" s="49"/>
      <c r="U385" s="4" t="s">
        <v>90</v>
      </c>
      <c r="V385" s="8"/>
      <c r="W385" s="8"/>
      <c r="X385" s="8"/>
      <c r="Y385" s="8"/>
      <c r="Z385" s="8"/>
      <c r="AA385" s="31"/>
      <c r="AB385" s="32"/>
      <c r="AC385" s="8"/>
      <c r="AD385" s="8"/>
      <c r="AE385" s="8"/>
      <c r="AF385" s="8"/>
      <c r="AG385" s="33"/>
      <c r="AH385" s="34"/>
      <c r="AI385" s="35"/>
    </row>
    <row r="386" spans="1:35" ht="154">
      <c r="A386" s="8"/>
      <c r="B386" s="4" t="s">
        <v>1753</v>
      </c>
      <c r="C386" s="4" t="s">
        <v>1754</v>
      </c>
      <c r="D386" s="4" t="s">
        <v>707</v>
      </c>
      <c r="E386" s="4" t="s">
        <v>860</v>
      </c>
      <c r="F386" s="43" t="s">
        <v>335</v>
      </c>
      <c r="G386" s="8"/>
      <c r="H386" s="8"/>
      <c r="I386" s="8"/>
      <c r="J386" s="4" t="s">
        <v>20</v>
      </c>
      <c r="K386" s="4" t="s">
        <v>1755</v>
      </c>
      <c r="L386" s="4">
        <v>1</v>
      </c>
      <c r="M386" s="4"/>
      <c r="N386" s="4"/>
      <c r="O386" s="8"/>
      <c r="P386" s="45">
        <v>43466</v>
      </c>
      <c r="Q386" s="45">
        <v>43830</v>
      </c>
      <c r="R386" s="49"/>
      <c r="S386" s="49"/>
      <c r="T386" s="49"/>
      <c r="U386" s="73" t="s">
        <v>90</v>
      </c>
      <c r="V386" s="8"/>
      <c r="W386" s="8"/>
      <c r="X386" s="8"/>
      <c r="Y386" s="8"/>
      <c r="Z386" s="8"/>
      <c r="AA386" s="31"/>
      <c r="AB386" s="32"/>
      <c r="AC386" s="8"/>
      <c r="AD386" s="8"/>
      <c r="AE386" s="8"/>
      <c r="AF386" s="8"/>
      <c r="AG386" s="33"/>
      <c r="AH386" s="34"/>
      <c r="AI386" s="35"/>
    </row>
    <row r="387" spans="1:35" ht="154">
      <c r="A387" s="8"/>
      <c r="B387" s="4" t="s">
        <v>1756</v>
      </c>
      <c r="C387" s="4" t="s">
        <v>1757</v>
      </c>
      <c r="D387" s="4" t="s">
        <v>707</v>
      </c>
      <c r="E387" s="4" t="s">
        <v>860</v>
      </c>
      <c r="F387" s="43" t="s">
        <v>341</v>
      </c>
      <c r="G387" s="8"/>
      <c r="H387" s="8"/>
      <c r="I387" s="8"/>
      <c r="J387" s="4" t="s">
        <v>20</v>
      </c>
      <c r="K387" s="4" t="s">
        <v>1759</v>
      </c>
      <c r="L387" s="4">
        <v>1</v>
      </c>
      <c r="M387" s="8"/>
      <c r="N387" s="8"/>
      <c r="O387" s="8"/>
      <c r="P387" s="45">
        <v>43466</v>
      </c>
      <c r="Q387" s="45">
        <v>43830</v>
      </c>
      <c r="R387" s="49"/>
      <c r="S387" s="49"/>
      <c r="T387" s="49"/>
      <c r="U387" s="73" t="s">
        <v>90</v>
      </c>
      <c r="V387" s="8"/>
      <c r="W387" s="8"/>
      <c r="X387" s="8"/>
      <c r="Y387" s="8"/>
      <c r="Z387" s="8"/>
      <c r="AA387" s="31"/>
      <c r="AB387" s="32"/>
      <c r="AC387" s="8"/>
      <c r="AD387" s="8"/>
      <c r="AE387" s="8"/>
      <c r="AF387" s="8"/>
      <c r="AG387" s="33"/>
      <c r="AH387" s="34"/>
      <c r="AI387" s="35"/>
    </row>
    <row r="388" spans="1:35" ht="126">
      <c r="A388" s="8"/>
      <c r="B388" s="4" t="s">
        <v>1761</v>
      </c>
      <c r="C388" s="4" t="s">
        <v>1762</v>
      </c>
      <c r="D388" s="4" t="s">
        <v>707</v>
      </c>
      <c r="E388" s="4" t="s">
        <v>860</v>
      </c>
      <c r="F388" s="43" t="s">
        <v>347</v>
      </c>
      <c r="G388" s="8"/>
      <c r="H388" s="8"/>
      <c r="I388" s="8"/>
      <c r="J388" s="4" t="s">
        <v>20</v>
      </c>
      <c r="K388" s="4" t="s">
        <v>1763</v>
      </c>
      <c r="L388" s="4">
        <v>1</v>
      </c>
      <c r="M388" s="8"/>
      <c r="N388" s="8"/>
      <c r="O388" s="8"/>
      <c r="P388" s="45">
        <v>43466</v>
      </c>
      <c r="Q388" s="45">
        <v>43524</v>
      </c>
      <c r="R388" s="49"/>
      <c r="S388" s="49"/>
      <c r="T388" s="49"/>
      <c r="U388" s="73" t="s">
        <v>90</v>
      </c>
      <c r="V388" s="8"/>
      <c r="W388" s="8"/>
      <c r="X388" s="8"/>
      <c r="Y388" s="8"/>
      <c r="Z388" s="8"/>
      <c r="AA388" s="31"/>
      <c r="AB388" s="32"/>
      <c r="AC388" s="8"/>
      <c r="AD388" s="8"/>
      <c r="AE388" s="8"/>
      <c r="AF388" s="8"/>
      <c r="AG388" s="33"/>
      <c r="AH388" s="34"/>
      <c r="AI388" s="35"/>
    </row>
    <row r="389" spans="1:35" ht="210">
      <c r="A389" s="8"/>
      <c r="B389" s="4" t="s">
        <v>1764</v>
      </c>
      <c r="C389" s="4" t="s">
        <v>1765</v>
      </c>
      <c r="D389" s="4" t="s">
        <v>707</v>
      </c>
      <c r="E389" s="4" t="s">
        <v>860</v>
      </c>
      <c r="F389" s="43" t="s">
        <v>352</v>
      </c>
      <c r="G389" s="8"/>
      <c r="H389" s="8"/>
      <c r="I389" s="8"/>
      <c r="J389" s="4" t="s">
        <v>20</v>
      </c>
      <c r="K389" s="4" t="s">
        <v>1766</v>
      </c>
      <c r="L389" s="4">
        <v>1</v>
      </c>
      <c r="M389" s="8"/>
      <c r="N389" s="8"/>
      <c r="O389" s="8"/>
      <c r="P389" s="45">
        <v>43466</v>
      </c>
      <c r="Q389" s="45">
        <v>43799</v>
      </c>
      <c r="R389" s="49"/>
      <c r="S389" s="49"/>
      <c r="T389" s="49"/>
      <c r="U389" s="4" t="s">
        <v>90</v>
      </c>
      <c r="V389" s="8"/>
      <c r="W389" s="8"/>
      <c r="X389" s="8"/>
      <c r="Y389" s="8"/>
      <c r="Z389" s="8"/>
      <c r="AA389" s="31"/>
      <c r="AB389" s="32"/>
      <c r="AC389" s="8"/>
      <c r="AD389" s="8"/>
      <c r="AE389" s="8"/>
      <c r="AF389" s="8"/>
      <c r="AG389" s="33"/>
      <c r="AH389" s="34"/>
      <c r="AI389" s="35"/>
    </row>
    <row r="390" spans="1:35" ht="140">
      <c r="A390" s="8"/>
      <c r="B390" s="4" t="s">
        <v>1769</v>
      </c>
      <c r="C390" s="4" t="s">
        <v>1770</v>
      </c>
      <c r="D390" s="4" t="s">
        <v>707</v>
      </c>
      <c r="E390" s="4" t="s">
        <v>860</v>
      </c>
      <c r="F390" s="43" t="s">
        <v>416</v>
      </c>
      <c r="G390" s="8"/>
      <c r="H390" s="8"/>
      <c r="I390" s="8"/>
      <c r="J390" s="4" t="s">
        <v>20</v>
      </c>
      <c r="K390" s="4" t="s">
        <v>1771</v>
      </c>
      <c r="L390" s="4">
        <v>1</v>
      </c>
      <c r="M390" s="8"/>
      <c r="N390" s="8"/>
      <c r="O390" s="8"/>
      <c r="P390" s="45">
        <v>43466</v>
      </c>
      <c r="Q390" s="45">
        <v>43799</v>
      </c>
      <c r="R390" s="49"/>
      <c r="S390" s="49"/>
      <c r="T390" s="49"/>
      <c r="U390" s="4" t="s">
        <v>90</v>
      </c>
      <c r="V390" s="8"/>
      <c r="W390" s="8"/>
      <c r="X390" s="8"/>
      <c r="Y390" s="8"/>
      <c r="Z390" s="8"/>
      <c r="AA390" s="31"/>
      <c r="AB390" s="32"/>
      <c r="AC390" s="8"/>
      <c r="AD390" s="8"/>
      <c r="AE390" s="8"/>
      <c r="AF390" s="8"/>
      <c r="AG390" s="33"/>
      <c r="AH390" s="34"/>
      <c r="AI390" s="35"/>
    </row>
    <row r="391" spans="1:35" ht="126">
      <c r="A391" s="8"/>
      <c r="B391" s="4" t="s">
        <v>1774</v>
      </c>
      <c r="C391" s="4" t="s">
        <v>1775</v>
      </c>
      <c r="D391" s="4" t="s">
        <v>707</v>
      </c>
      <c r="E391" s="4" t="s">
        <v>860</v>
      </c>
      <c r="F391" s="43" t="s">
        <v>420</v>
      </c>
      <c r="G391" s="8"/>
      <c r="H391" s="8"/>
      <c r="I391" s="8"/>
      <c r="J391" s="4" t="s">
        <v>20</v>
      </c>
      <c r="K391" s="4" t="s">
        <v>1776</v>
      </c>
      <c r="L391" s="4">
        <v>1</v>
      </c>
      <c r="M391" s="8"/>
      <c r="N391" s="8"/>
      <c r="O391" s="8"/>
      <c r="P391" s="45">
        <v>43466</v>
      </c>
      <c r="Q391" s="45">
        <v>43678</v>
      </c>
      <c r="R391" s="49"/>
      <c r="S391" s="49"/>
      <c r="T391" s="49"/>
      <c r="U391" s="4" t="s">
        <v>90</v>
      </c>
      <c r="V391" s="8"/>
      <c r="W391" s="8"/>
      <c r="X391" s="8"/>
      <c r="Y391" s="8"/>
      <c r="Z391" s="8"/>
      <c r="AA391" s="31"/>
      <c r="AB391" s="32"/>
      <c r="AC391" s="8"/>
      <c r="AD391" s="8"/>
      <c r="AE391" s="8"/>
      <c r="AF391" s="8"/>
      <c r="AG391" s="33"/>
      <c r="AH391" s="34"/>
      <c r="AI391" s="35"/>
    </row>
    <row r="392" spans="1:35" ht="140">
      <c r="A392" s="8"/>
      <c r="B392" s="4" t="s">
        <v>1777</v>
      </c>
      <c r="C392" s="4" t="s">
        <v>1778</v>
      </c>
      <c r="D392" s="4" t="s">
        <v>707</v>
      </c>
      <c r="E392" s="4" t="s">
        <v>860</v>
      </c>
      <c r="F392" s="43" t="s">
        <v>425</v>
      </c>
      <c r="G392" s="8"/>
      <c r="H392" s="8"/>
      <c r="I392" s="8"/>
      <c r="J392" s="4" t="s">
        <v>20</v>
      </c>
      <c r="K392" s="4" t="s">
        <v>1779</v>
      </c>
      <c r="L392" s="4">
        <v>1</v>
      </c>
      <c r="M392" s="8"/>
      <c r="N392" s="8"/>
      <c r="O392" s="8"/>
      <c r="P392" s="45">
        <v>43466</v>
      </c>
      <c r="Q392" s="45">
        <v>43709</v>
      </c>
      <c r="R392" s="49"/>
      <c r="S392" s="49"/>
      <c r="T392" s="49"/>
      <c r="U392" s="4" t="s">
        <v>90</v>
      </c>
      <c r="V392" s="8"/>
      <c r="W392" s="8"/>
      <c r="X392" s="8"/>
      <c r="Y392" s="8"/>
      <c r="Z392" s="8"/>
      <c r="AA392" s="31"/>
      <c r="AB392" s="32"/>
      <c r="AC392" s="8"/>
      <c r="AD392" s="8"/>
      <c r="AE392" s="8"/>
      <c r="AF392" s="8"/>
      <c r="AG392" s="33"/>
      <c r="AH392" s="34"/>
      <c r="AI392" s="35"/>
    </row>
    <row r="393" spans="1:35" ht="168">
      <c r="A393" s="8"/>
      <c r="B393" s="4" t="s">
        <v>1780</v>
      </c>
      <c r="C393" s="4" t="s">
        <v>1781</v>
      </c>
      <c r="D393" s="4" t="s">
        <v>707</v>
      </c>
      <c r="E393" s="4" t="s">
        <v>860</v>
      </c>
      <c r="F393" s="43" t="s">
        <v>428</v>
      </c>
      <c r="G393" s="4">
        <v>7</v>
      </c>
      <c r="H393" s="4">
        <v>1</v>
      </c>
      <c r="I393" s="170" t="s">
        <v>1745</v>
      </c>
      <c r="J393" s="4" t="s">
        <v>20</v>
      </c>
      <c r="K393" s="4" t="s">
        <v>1782</v>
      </c>
      <c r="L393" s="4">
        <v>1</v>
      </c>
      <c r="M393" s="8"/>
      <c r="N393" s="8"/>
      <c r="O393" s="8"/>
      <c r="P393" s="45">
        <v>43466</v>
      </c>
      <c r="Q393" s="45">
        <v>43830</v>
      </c>
      <c r="R393" s="49"/>
      <c r="S393" s="49"/>
      <c r="T393" s="49"/>
      <c r="U393" s="4" t="s">
        <v>96</v>
      </c>
      <c r="V393" s="4">
        <v>24500</v>
      </c>
      <c r="W393" s="8"/>
      <c r="X393" s="8"/>
      <c r="Y393" s="8"/>
      <c r="Z393" s="8"/>
      <c r="AA393" s="31"/>
      <c r="AB393" s="32"/>
      <c r="AC393" s="8"/>
      <c r="AD393" s="8"/>
      <c r="AE393" s="8"/>
      <c r="AF393" s="8"/>
      <c r="AG393" s="33"/>
      <c r="AH393" s="47" t="s">
        <v>1783</v>
      </c>
      <c r="AI393" s="48" t="s">
        <v>1784</v>
      </c>
    </row>
    <row r="394" spans="1:35" ht="182">
      <c r="A394" s="8"/>
      <c r="B394" s="4" t="s">
        <v>1785</v>
      </c>
      <c r="C394" s="4" t="s">
        <v>1786</v>
      </c>
      <c r="D394" s="4" t="s">
        <v>707</v>
      </c>
      <c r="E394" s="4" t="s">
        <v>860</v>
      </c>
      <c r="F394" s="43" t="s">
        <v>431</v>
      </c>
      <c r="G394" s="8"/>
      <c r="H394" s="8"/>
      <c r="I394" s="8"/>
      <c r="J394" s="4" t="s">
        <v>20</v>
      </c>
      <c r="K394" s="4" t="s">
        <v>1787</v>
      </c>
      <c r="L394" s="4">
        <v>1</v>
      </c>
      <c r="M394" s="8"/>
      <c r="N394" s="8"/>
      <c r="O394" s="8"/>
      <c r="P394" s="45">
        <v>43466</v>
      </c>
      <c r="Q394" s="45">
        <v>45657</v>
      </c>
      <c r="R394" s="49"/>
      <c r="S394" s="49"/>
      <c r="T394" s="49"/>
      <c r="U394" s="4" t="s">
        <v>96</v>
      </c>
      <c r="V394" s="8"/>
      <c r="W394" s="8"/>
      <c r="X394" s="8"/>
      <c r="Y394" s="8"/>
      <c r="Z394" s="8"/>
      <c r="AA394" s="31"/>
      <c r="AB394" s="32"/>
      <c r="AC394" s="8"/>
      <c r="AD394" s="8"/>
      <c r="AE394" s="8"/>
      <c r="AF394" s="8"/>
      <c r="AG394" s="33"/>
      <c r="AH394" s="34"/>
      <c r="AI394" s="35"/>
    </row>
    <row r="395" spans="1:35" ht="182">
      <c r="A395" s="8"/>
      <c r="B395" s="4" t="s">
        <v>1790</v>
      </c>
      <c r="C395" s="4" t="s">
        <v>1791</v>
      </c>
      <c r="D395" s="4" t="s">
        <v>707</v>
      </c>
      <c r="E395" s="4" t="s">
        <v>860</v>
      </c>
      <c r="F395" s="43" t="s">
        <v>434</v>
      </c>
      <c r="G395" s="4">
        <v>7</v>
      </c>
      <c r="H395" s="4">
        <v>1</v>
      </c>
      <c r="I395" s="4" t="s">
        <v>1745</v>
      </c>
      <c r="J395" s="4" t="s">
        <v>20</v>
      </c>
      <c r="K395" s="4" t="s">
        <v>1782</v>
      </c>
      <c r="L395" s="4">
        <v>1</v>
      </c>
      <c r="M395" s="8"/>
      <c r="N395" s="8"/>
      <c r="O395" s="8"/>
      <c r="P395" s="45">
        <v>43466</v>
      </c>
      <c r="Q395" s="45">
        <v>44561</v>
      </c>
      <c r="R395" s="49"/>
      <c r="S395" s="49"/>
      <c r="T395" s="49"/>
      <c r="U395" s="4" t="s">
        <v>96</v>
      </c>
      <c r="V395" s="4">
        <v>35986.81</v>
      </c>
      <c r="W395" s="4">
        <v>36302.85</v>
      </c>
      <c r="X395" s="4">
        <v>36144.83</v>
      </c>
      <c r="Y395" s="8"/>
      <c r="Z395" s="8"/>
      <c r="AA395" s="31"/>
      <c r="AB395" s="22">
        <v>36144.828999999998</v>
      </c>
      <c r="AC395" s="4">
        <v>36302.85</v>
      </c>
      <c r="AD395" s="4">
        <v>36144.828999999998</v>
      </c>
      <c r="AE395" s="8"/>
      <c r="AF395" s="8"/>
      <c r="AG395" s="33"/>
      <c r="AH395" s="47" t="s">
        <v>1792</v>
      </c>
      <c r="AI395" s="48" t="s">
        <v>1622</v>
      </c>
    </row>
    <row r="396" spans="1:35" ht="154">
      <c r="A396" s="132"/>
      <c r="B396" s="73" t="s">
        <v>1793</v>
      </c>
      <c r="C396" s="73" t="s">
        <v>1794</v>
      </c>
      <c r="D396" s="73" t="s">
        <v>707</v>
      </c>
      <c r="E396" s="73" t="s">
        <v>860</v>
      </c>
      <c r="F396" s="248" t="s">
        <v>939</v>
      </c>
      <c r="G396" s="73">
        <v>2</v>
      </c>
      <c r="H396" s="73">
        <v>2</v>
      </c>
      <c r="I396" s="73" t="s">
        <v>1795</v>
      </c>
      <c r="J396" s="73" t="s">
        <v>20</v>
      </c>
      <c r="K396" s="73" t="s">
        <v>1782</v>
      </c>
      <c r="L396" s="73">
        <v>1</v>
      </c>
      <c r="M396" s="132"/>
      <c r="N396" s="132"/>
      <c r="O396" s="132"/>
      <c r="P396" s="249">
        <v>43466</v>
      </c>
      <c r="Q396" s="249">
        <v>45657</v>
      </c>
      <c r="R396" s="136"/>
      <c r="S396" s="136"/>
      <c r="T396" s="136"/>
      <c r="U396" s="73" t="s">
        <v>96</v>
      </c>
      <c r="V396" s="132"/>
      <c r="W396" s="73">
        <v>1470</v>
      </c>
      <c r="X396" s="73">
        <v>1520.5</v>
      </c>
      <c r="Y396" s="73">
        <v>2050</v>
      </c>
      <c r="Z396" s="73">
        <v>2050</v>
      </c>
      <c r="AA396" s="250">
        <v>2050</v>
      </c>
      <c r="AB396" s="138"/>
      <c r="AC396" s="73">
        <v>1325.3</v>
      </c>
      <c r="AD396" s="73">
        <v>1416.5</v>
      </c>
      <c r="AE396" s="73">
        <v>1898.9</v>
      </c>
      <c r="AF396" s="132"/>
      <c r="AG396" s="139"/>
      <c r="AH396" s="251" t="s">
        <v>1798</v>
      </c>
      <c r="AI396" s="73" t="s">
        <v>1622</v>
      </c>
    </row>
    <row r="397" spans="1:35" ht="182">
      <c r="A397" s="132"/>
      <c r="B397" s="73" t="s">
        <v>1799</v>
      </c>
      <c r="C397" s="73"/>
      <c r="D397" s="73" t="s">
        <v>707</v>
      </c>
      <c r="E397" s="73" t="s">
        <v>860</v>
      </c>
      <c r="F397" s="248" t="s">
        <v>941</v>
      </c>
      <c r="G397" s="73">
        <v>2</v>
      </c>
      <c r="H397" s="73">
        <v>2</v>
      </c>
      <c r="I397" s="73" t="s">
        <v>1795</v>
      </c>
      <c r="J397" s="73" t="s">
        <v>20</v>
      </c>
      <c r="K397" s="73" t="s">
        <v>1782</v>
      </c>
      <c r="L397" s="73">
        <v>1</v>
      </c>
      <c r="M397" s="132"/>
      <c r="N397" s="132"/>
      <c r="O397" s="132"/>
      <c r="P397" s="249">
        <v>43466</v>
      </c>
      <c r="Q397" s="249">
        <v>44196</v>
      </c>
      <c r="R397" s="136"/>
      <c r="S397" s="136"/>
      <c r="T397" s="136"/>
      <c r="U397" s="73" t="s">
        <v>96</v>
      </c>
      <c r="V397" s="132"/>
      <c r="W397" s="132"/>
      <c r="X397" s="132"/>
      <c r="Y397" s="132"/>
      <c r="Z397" s="132"/>
      <c r="AA397" s="137"/>
      <c r="AB397" s="138"/>
      <c r="AC397" s="132"/>
      <c r="AD397" s="132"/>
      <c r="AE397" s="132"/>
      <c r="AF397" s="132"/>
      <c r="AG397" s="139"/>
      <c r="AH397" s="252"/>
      <c r="AI397" s="132"/>
    </row>
    <row r="398" spans="1:35" ht="140">
      <c r="A398" s="253"/>
      <c r="B398" s="254" t="s">
        <v>1800</v>
      </c>
      <c r="C398" s="254" t="s">
        <v>1801</v>
      </c>
      <c r="D398" s="254" t="s">
        <v>707</v>
      </c>
      <c r="E398" s="254" t="s">
        <v>860</v>
      </c>
      <c r="F398" s="255" t="s">
        <v>437</v>
      </c>
      <c r="G398" s="253"/>
      <c r="H398" s="253"/>
      <c r="I398" s="253"/>
      <c r="J398" s="254" t="s">
        <v>20</v>
      </c>
      <c r="K398" s="254" t="s">
        <v>1802</v>
      </c>
      <c r="L398" s="254">
        <v>1</v>
      </c>
      <c r="M398" s="253"/>
      <c r="N398" s="253"/>
      <c r="O398" s="253"/>
      <c r="P398" s="256"/>
      <c r="Q398" s="256"/>
      <c r="R398" s="257"/>
      <c r="S398" s="257"/>
      <c r="T398" s="257"/>
      <c r="U398" s="253"/>
      <c r="V398" s="253"/>
      <c r="W398" s="253"/>
      <c r="X398" s="253"/>
      <c r="Y398" s="253"/>
      <c r="Z398" s="253"/>
      <c r="AA398" s="258"/>
      <c r="AB398" s="259"/>
      <c r="AC398" s="253"/>
      <c r="AD398" s="253"/>
      <c r="AE398" s="253"/>
      <c r="AF398" s="253"/>
      <c r="AG398" s="260"/>
      <c r="AH398" s="261"/>
      <c r="AI398" s="253"/>
    </row>
    <row r="399" spans="1:35" ht="42">
      <c r="A399" s="246" t="s">
        <v>1728</v>
      </c>
      <c r="B399" s="192" t="s">
        <v>1805</v>
      </c>
      <c r="C399" s="244"/>
      <c r="D399" s="84"/>
      <c r="E399" s="84"/>
      <c r="F399" s="193"/>
      <c r="G399" s="84"/>
      <c r="H399" s="84"/>
      <c r="I399" s="84"/>
      <c r="J399" s="244"/>
      <c r="K399" s="84"/>
      <c r="L399" s="244"/>
      <c r="M399" s="244"/>
      <c r="N399" s="244"/>
      <c r="O399" s="84"/>
      <c r="P399" s="85"/>
      <c r="Q399" s="85"/>
      <c r="R399" s="245"/>
      <c r="S399" s="86"/>
      <c r="T399" s="86"/>
      <c r="U399" s="84"/>
      <c r="V399" s="84"/>
      <c r="W399" s="84"/>
      <c r="X399" s="84"/>
      <c r="Y399" s="84"/>
      <c r="Z399" s="84"/>
      <c r="AA399" s="194"/>
      <c r="AB399" s="195"/>
      <c r="AC399" s="84"/>
      <c r="AD399" s="84"/>
      <c r="AE399" s="84"/>
      <c r="AF399" s="84"/>
      <c r="AG399" s="196"/>
      <c r="AH399" s="247"/>
      <c r="AI399" s="84"/>
    </row>
    <row r="400" spans="1:35" ht="13">
      <c r="A400" s="8"/>
      <c r="B400" s="8"/>
      <c r="C400" s="8"/>
      <c r="D400" s="8"/>
      <c r="E400" s="8"/>
      <c r="F400" s="87"/>
      <c r="G400" s="8"/>
      <c r="H400" s="8"/>
      <c r="I400" s="8"/>
      <c r="J400" s="8"/>
      <c r="K400" s="8"/>
      <c r="L400" s="8"/>
      <c r="M400" s="8"/>
      <c r="N400" s="8"/>
      <c r="O400" s="8"/>
      <c r="P400" s="88"/>
      <c r="Q400" s="88"/>
      <c r="R400" s="49"/>
      <c r="S400" s="49"/>
      <c r="T400" s="49"/>
      <c r="U400" s="8"/>
      <c r="V400" s="8"/>
      <c r="W400" s="8"/>
      <c r="X400" s="8"/>
      <c r="Y400" s="8"/>
      <c r="Z400" s="8"/>
      <c r="AA400" s="31"/>
      <c r="AB400" s="32"/>
      <c r="AC400" s="8"/>
      <c r="AD400" s="8"/>
      <c r="AE400" s="8"/>
      <c r="AF400" s="8"/>
      <c r="AG400" s="33"/>
      <c r="AH400" s="34"/>
      <c r="AI400" s="35"/>
    </row>
    <row r="401" spans="1:35" ht="13">
      <c r="A401" s="8"/>
      <c r="B401" s="8"/>
      <c r="C401" s="8"/>
      <c r="D401" s="8"/>
      <c r="E401" s="8"/>
      <c r="F401" s="87"/>
      <c r="G401" s="8"/>
      <c r="H401" s="8"/>
      <c r="I401" s="8"/>
      <c r="J401" s="8"/>
      <c r="K401" s="8"/>
      <c r="L401" s="8"/>
      <c r="M401" s="8"/>
      <c r="N401" s="8"/>
      <c r="O401" s="8"/>
      <c r="P401" s="88"/>
      <c r="Q401" s="88"/>
      <c r="R401" s="49"/>
      <c r="S401" s="49"/>
      <c r="T401" s="49"/>
      <c r="U401" s="8"/>
      <c r="V401" s="8"/>
      <c r="W401" s="8"/>
      <c r="X401" s="8"/>
      <c r="Y401" s="8"/>
      <c r="Z401" s="8"/>
      <c r="AA401" s="31"/>
      <c r="AB401" s="32"/>
      <c r="AC401" s="8"/>
      <c r="AD401" s="8"/>
      <c r="AE401" s="8"/>
      <c r="AF401" s="8"/>
      <c r="AG401" s="33"/>
      <c r="AH401" s="34"/>
      <c r="AI401" s="35"/>
    </row>
    <row r="402" spans="1:35" ht="13">
      <c r="A402" s="8"/>
      <c r="B402" s="8"/>
      <c r="C402" s="8"/>
      <c r="D402" s="8"/>
      <c r="E402" s="8"/>
      <c r="F402" s="87"/>
      <c r="G402" s="8"/>
      <c r="H402" s="8"/>
      <c r="I402" s="8"/>
      <c r="J402" s="8"/>
      <c r="K402" s="8"/>
      <c r="L402" s="8"/>
      <c r="M402" s="8"/>
      <c r="N402" s="8"/>
      <c r="O402" s="8"/>
      <c r="P402" s="88"/>
      <c r="Q402" s="88"/>
      <c r="R402" s="49"/>
      <c r="S402" s="49"/>
      <c r="T402" s="49"/>
      <c r="U402" s="8"/>
      <c r="V402" s="8"/>
      <c r="W402" s="8"/>
      <c r="X402" s="8"/>
      <c r="Y402" s="8"/>
      <c r="Z402" s="8"/>
      <c r="AA402" s="31"/>
      <c r="AB402" s="32"/>
      <c r="AC402" s="8"/>
      <c r="AD402" s="8"/>
      <c r="AE402" s="8"/>
      <c r="AF402" s="8"/>
      <c r="AG402" s="33"/>
      <c r="AH402" s="34"/>
      <c r="AI402" s="35"/>
    </row>
    <row r="403" spans="1:35" ht="13">
      <c r="A403" s="8"/>
      <c r="B403" s="8"/>
      <c r="C403" s="8"/>
      <c r="D403" s="8"/>
      <c r="E403" s="8"/>
      <c r="F403" s="87"/>
      <c r="G403" s="8"/>
      <c r="H403" s="8"/>
      <c r="I403" s="8"/>
      <c r="J403" s="8"/>
      <c r="K403" s="8"/>
      <c r="L403" s="8"/>
      <c r="M403" s="8"/>
      <c r="N403" s="8"/>
      <c r="O403" s="8"/>
      <c r="P403" s="88"/>
      <c r="Q403" s="88"/>
      <c r="R403" s="49"/>
      <c r="S403" s="49"/>
      <c r="T403" s="49"/>
      <c r="U403" s="8"/>
      <c r="V403" s="8"/>
      <c r="W403" s="8"/>
      <c r="X403" s="8"/>
      <c r="Y403" s="8"/>
      <c r="Z403" s="8"/>
      <c r="AA403" s="31"/>
      <c r="AB403" s="32"/>
      <c r="AC403" s="8"/>
      <c r="AD403" s="8"/>
      <c r="AE403" s="8"/>
      <c r="AF403" s="8"/>
      <c r="AG403" s="33"/>
      <c r="AH403" s="34"/>
      <c r="AI403" s="35"/>
    </row>
    <row r="404" spans="1:35" ht="13">
      <c r="A404" s="8"/>
      <c r="B404" s="8"/>
      <c r="C404" s="8"/>
      <c r="D404" s="8"/>
      <c r="E404" s="8"/>
      <c r="F404" s="87"/>
      <c r="G404" s="8"/>
      <c r="H404" s="8"/>
      <c r="I404" s="8"/>
      <c r="J404" s="8"/>
      <c r="K404" s="8"/>
      <c r="L404" s="8"/>
      <c r="M404" s="8"/>
      <c r="N404" s="8"/>
      <c r="O404" s="8"/>
      <c r="P404" s="88"/>
      <c r="Q404" s="88"/>
      <c r="R404" s="49"/>
      <c r="S404" s="49"/>
      <c r="T404" s="49"/>
      <c r="U404" s="8"/>
      <c r="V404" s="8"/>
      <c r="W404" s="8"/>
      <c r="X404" s="8"/>
      <c r="Y404" s="8"/>
      <c r="Z404" s="8"/>
      <c r="AA404" s="31"/>
      <c r="AB404" s="32"/>
      <c r="AC404" s="8"/>
      <c r="AD404" s="8"/>
      <c r="AE404" s="8"/>
      <c r="AF404" s="8"/>
      <c r="AG404" s="33"/>
      <c r="AH404" s="34"/>
      <c r="AI404" s="35"/>
    </row>
    <row r="405" spans="1:35" ht="13">
      <c r="A405" s="8"/>
      <c r="B405" s="8"/>
      <c r="C405" s="8"/>
      <c r="D405" s="8"/>
      <c r="E405" s="8"/>
      <c r="F405" s="87"/>
      <c r="G405" s="8"/>
      <c r="H405" s="8"/>
      <c r="I405" s="8"/>
      <c r="J405" s="8"/>
      <c r="K405" s="8"/>
      <c r="L405" s="8"/>
      <c r="M405" s="8"/>
      <c r="N405" s="8"/>
      <c r="O405" s="8"/>
      <c r="P405" s="88"/>
      <c r="Q405" s="88"/>
      <c r="R405" s="49"/>
      <c r="S405" s="49"/>
      <c r="T405" s="49"/>
      <c r="U405" s="8"/>
      <c r="V405" s="8"/>
      <c r="W405" s="8"/>
      <c r="X405" s="8"/>
      <c r="Y405" s="8"/>
      <c r="Z405" s="8"/>
      <c r="AA405" s="31"/>
      <c r="AB405" s="32"/>
      <c r="AC405" s="8"/>
      <c r="AD405" s="8"/>
      <c r="AE405" s="8"/>
      <c r="AF405" s="8"/>
      <c r="AG405" s="33"/>
      <c r="AH405" s="34"/>
      <c r="AI405" s="35"/>
    </row>
    <row r="406" spans="1:35" ht="13">
      <c r="A406" s="8"/>
      <c r="B406" s="8"/>
      <c r="C406" s="8"/>
      <c r="D406" s="8"/>
      <c r="E406" s="8"/>
      <c r="F406" s="87"/>
      <c r="G406" s="8"/>
      <c r="H406" s="8"/>
      <c r="I406" s="8"/>
      <c r="J406" s="8"/>
      <c r="K406" s="8"/>
      <c r="L406" s="8"/>
      <c r="M406" s="8"/>
      <c r="N406" s="8"/>
      <c r="O406" s="8"/>
      <c r="P406" s="88"/>
      <c r="Q406" s="88"/>
      <c r="R406" s="49"/>
      <c r="S406" s="49"/>
      <c r="T406" s="49"/>
      <c r="U406" s="8"/>
      <c r="V406" s="8"/>
      <c r="W406" s="8"/>
      <c r="X406" s="8"/>
      <c r="Y406" s="8"/>
      <c r="Z406" s="8"/>
      <c r="AA406" s="31"/>
      <c r="AB406" s="32"/>
      <c r="AC406" s="8"/>
      <c r="AD406" s="8"/>
      <c r="AE406" s="8"/>
      <c r="AF406" s="8"/>
      <c r="AG406" s="33"/>
      <c r="AH406" s="34"/>
      <c r="AI406" s="35"/>
    </row>
    <row r="407" spans="1:35" ht="1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row>
    <row r="408" spans="1:35" ht="13">
      <c r="A408" s="8"/>
      <c r="B408" s="8"/>
      <c r="C408" s="8"/>
      <c r="D408" s="8"/>
      <c r="E408" s="8"/>
      <c r="F408" s="87"/>
      <c r="G408" s="8"/>
      <c r="H408" s="8"/>
      <c r="I408" s="8"/>
      <c r="J408" s="8"/>
      <c r="K408" s="8"/>
      <c r="L408" s="8"/>
      <c r="M408" s="8"/>
      <c r="N408" s="8"/>
      <c r="O408" s="8"/>
      <c r="P408" s="88"/>
      <c r="Q408" s="88"/>
      <c r="R408" s="49"/>
      <c r="S408" s="49"/>
      <c r="T408" s="49"/>
      <c r="U408" s="8"/>
      <c r="V408" s="8"/>
      <c r="W408" s="8"/>
      <c r="X408" s="8"/>
      <c r="Y408" s="8"/>
      <c r="Z408" s="8"/>
      <c r="AA408" s="31"/>
      <c r="AB408" s="32"/>
      <c r="AC408" s="8"/>
      <c r="AD408" s="8"/>
      <c r="AE408" s="8"/>
      <c r="AF408" s="8"/>
      <c r="AG408" s="33"/>
      <c r="AH408" s="34"/>
      <c r="AI408" s="35"/>
    </row>
    <row r="409" spans="1:35" ht="13">
      <c r="A409" s="8"/>
      <c r="B409" s="8"/>
      <c r="C409" s="8"/>
      <c r="D409" s="8"/>
      <c r="E409" s="8"/>
      <c r="F409" s="87"/>
      <c r="G409" s="8"/>
      <c r="H409" s="8"/>
      <c r="I409" s="8"/>
      <c r="J409" s="8"/>
      <c r="K409" s="8"/>
      <c r="L409" s="8"/>
      <c r="M409" s="8"/>
      <c r="N409" s="8"/>
      <c r="O409" s="8"/>
      <c r="P409" s="88"/>
      <c r="Q409" s="88"/>
      <c r="R409" s="49"/>
      <c r="S409" s="49"/>
      <c r="T409" s="49"/>
      <c r="U409" s="8"/>
      <c r="V409" s="8"/>
      <c r="W409" s="8"/>
      <c r="X409" s="8"/>
      <c r="Y409" s="8"/>
      <c r="Z409" s="8"/>
      <c r="AA409" s="31"/>
      <c r="AB409" s="32"/>
      <c r="AC409" s="8"/>
      <c r="AD409" s="8"/>
      <c r="AE409" s="8"/>
      <c r="AF409" s="8"/>
      <c r="AG409" s="33"/>
      <c r="AH409" s="34"/>
      <c r="AI409" s="35"/>
    </row>
    <row r="410" spans="1:35" ht="13">
      <c r="A410" s="8"/>
      <c r="B410" s="8"/>
      <c r="C410" s="8"/>
      <c r="D410" s="8"/>
      <c r="E410" s="8"/>
      <c r="F410" s="87"/>
      <c r="G410" s="8"/>
      <c r="H410" s="8"/>
      <c r="I410" s="8"/>
      <c r="J410" s="8"/>
      <c r="K410" s="8"/>
      <c r="L410" s="8"/>
      <c r="M410" s="8"/>
      <c r="N410" s="8"/>
      <c r="O410" s="8"/>
      <c r="P410" s="88"/>
      <c r="Q410" s="88"/>
      <c r="R410" s="49"/>
      <c r="S410" s="49"/>
      <c r="T410" s="49"/>
      <c r="U410" s="8"/>
      <c r="V410" s="8"/>
      <c r="W410" s="8"/>
      <c r="X410" s="8"/>
      <c r="Y410" s="8"/>
      <c r="Z410" s="8"/>
      <c r="AA410" s="31"/>
      <c r="AB410" s="32"/>
      <c r="AC410" s="8"/>
      <c r="AD410" s="8"/>
      <c r="AE410" s="8"/>
      <c r="AF410" s="8"/>
      <c r="AG410" s="33"/>
      <c r="AH410" s="34"/>
      <c r="AI410" s="35"/>
    </row>
    <row r="411" spans="1:35" ht="13">
      <c r="A411" s="8"/>
      <c r="B411" s="8"/>
      <c r="C411" s="8"/>
      <c r="D411" s="8"/>
      <c r="E411" s="8"/>
      <c r="F411" s="87"/>
      <c r="G411" s="8"/>
      <c r="H411" s="8"/>
      <c r="I411" s="8"/>
      <c r="J411" s="8"/>
      <c r="K411" s="8"/>
      <c r="L411" s="8"/>
      <c r="M411" s="8"/>
      <c r="N411" s="8"/>
      <c r="O411" s="8"/>
      <c r="P411" s="88"/>
      <c r="Q411" s="88"/>
      <c r="R411" s="49"/>
      <c r="S411" s="49"/>
      <c r="T411" s="49"/>
      <c r="U411" s="8"/>
      <c r="V411" s="8"/>
      <c r="W411" s="8"/>
      <c r="X411" s="8"/>
      <c r="Y411" s="8"/>
      <c r="Z411" s="8"/>
      <c r="AA411" s="31"/>
      <c r="AB411" s="32"/>
      <c r="AC411" s="8"/>
      <c r="AD411" s="8"/>
      <c r="AE411" s="8"/>
      <c r="AF411" s="8"/>
      <c r="AG411" s="33"/>
      <c r="AH411" s="34"/>
      <c r="AI411" s="35"/>
    </row>
    <row r="412" spans="1:35" ht="13">
      <c r="A412" s="8"/>
      <c r="B412" s="8"/>
      <c r="C412" s="8"/>
      <c r="D412" s="8"/>
      <c r="E412" s="8"/>
      <c r="F412" s="87"/>
      <c r="G412" s="8"/>
      <c r="H412" s="8"/>
      <c r="I412" s="8"/>
      <c r="J412" s="8"/>
      <c r="K412" s="8"/>
      <c r="L412" s="8"/>
      <c r="M412" s="8"/>
      <c r="N412" s="8"/>
      <c r="O412" s="8"/>
      <c r="P412" s="88"/>
      <c r="Q412" s="88"/>
      <c r="R412" s="49"/>
      <c r="S412" s="49"/>
      <c r="T412" s="49"/>
      <c r="U412" s="8"/>
      <c r="V412" s="8"/>
      <c r="W412" s="8"/>
      <c r="X412" s="8"/>
      <c r="Y412" s="8"/>
      <c r="Z412" s="8"/>
      <c r="AA412" s="31"/>
      <c r="AB412" s="32"/>
      <c r="AC412" s="8"/>
      <c r="AD412" s="8"/>
      <c r="AE412" s="8"/>
      <c r="AF412" s="8"/>
      <c r="AG412" s="33"/>
      <c r="AH412" s="34"/>
      <c r="AI412" s="35"/>
    </row>
    <row r="413" spans="1:35" ht="13">
      <c r="A413" s="8"/>
      <c r="B413" s="8"/>
      <c r="C413" s="8"/>
      <c r="D413" s="8"/>
      <c r="E413" s="8"/>
      <c r="F413" s="87"/>
      <c r="G413" s="8"/>
      <c r="H413" s="8"/>
      <c r="I413" s="8"/>
      <c r="J413" s="8"/>
      <c r="K413" s="8"/>
      <c r="L413" s="8"/>
      <c r="M413" s="8"/>
      <c r="N413" s="8"/>
      <c r="O413" s="8"/>
      <c r="P413" s="88"/>
      <c r="Q413" s="88"/>
      <c r="R413" s="49"/>
      <c r="S413" s="49"/>
      <c r="T413" s="49"/>
      <c r="U413" s="8"/>
      <c r="V413" s="8"/>
      <c r="W413" s="8"/>
      <c r="X413" s="8"/>
      <c r="Y413" s="8"/>
      <c r="Z413" s="8"/>
      <c r="AA413" s="31"/>
      <c r="AB413" s="32"/>
      <c r="AC413" s="8"/>
      <c r="AD413" s="8"/>
      <c r="AE413" s="8"/>
      <c r="AF413" s="8"/>
      <c r="AG413" s="33"/>
      <c r="AH413" s="34"/>
      <c r="AI413" s="35"/>
    </row>
    <row r="414" spans="1:35" ht="13">
      <c r="A414" s="8"/>
      <c r="B414" s="8"/>
      <c r="C414" s="8"/>
      <c r="D414" s="8"/>
      <c r="E414" s="8"/>
      <c r="F414" s="87"/>
      <c r="G414" s="8"/>
      <c r="H414" s="8"/>
      <c r="I414" s="8"/>
      <c r="J414" s="8"/>
      <c r="K414" s="8"/>
      <c r="L414" s="8"/>
      <c r="M414" s="8"/>
      <c r="N414" s="8"/>
      <c r="O414" s="8"/>
      <c r="P414" s="88"/>
      <c r="Q414" s="88"/>
      <c r="R414" s="49"/>
      <c r="S414" s="49"/>
      <c r="T414" s="49"/>
      <c r="U414" s="8"/>
      <c r="V414" s="8"/>
      <c r="W414" s="8"/>
      <c r="X414" s="8"/>
      <c r="Y414" s="8"/>
      <c r="Z414" s="8"/>
      <c r="AA414" s="31"/>
      <c r="AB414" s="32"/>
      <c r="AC414" s="8"/>
      <c r="AD414" s="8"/>
      <c r="AE414" s="8"/>
      <c r="AF414" s="8"/>
      <c r="AG414" s="33"/>
      <c r="AH414" s="34"/>
      <c r="AI414" s="35"/>
    </row>
    <row r="415" spans="1:35" ht="13">
      <c r="A415" s="8"/>
      <c r="B415" s="8"/>
      <c r="C415" s="8"/>
      <c r="D415" s="8"/>
      <c r="E415" s="8"/>
      <c r="F415" s="87"/>
      <c r="G415" s="8"/>
      <c r="H415" s="8"/>
      <c r="I415" s="8"/>
      <c r="J415" s="8"/>
      <c r="K415" s="8"/>
      <c r="L415" s="8"/>
      <c r="M415" s="8"/>
      <c r="N415" s="8"/>
      <c r="O415" s="8"/>
      <c r="P415" s="88"/>
      <c r="Q415" s="88"/>
      <c r="R415" s="49"/>
      <c r="S415" s="49"/>
      <c r="T415" s="49"/>
      <c r="U415" s="8"/>
      <c r="V415" s="8"/>
      <c r="W415" s="8"/>
      <c r="X415" s="8"/>
      <c r="Y415" s="8"/>
      <c r="Z415" s="8"/>
      <c r="AA415" s="31"/>
      <c r="AB415" s="32"/>
      <c r="AC415" s="8"/>
      <c r="AD415" s="8"/>
      <c r="AE415" s="8"/>
      <c r="AF415" s="8"/>
      <c r="AG415" s="33"/>
      <c r="AH415" s="34"/>
      <c r="AI415" s="35"/>
    </row>
    <row r="416" spans="1:35" ht="13">
      <c r="A416" s="8"/>
      <c r="B416" s="8"/>
      <c r="C416" s="8"/>
      <c r="D416" s="8"/>
      <c r="E416" s="8"/>
      <c r="F416" s="87"/>
      <c r="G416" s="8"/>
      <c r="H416" s="8"/>
      <c r="I416" s="8"/>
      <c r="J416" s="8"/>
      <c r="K416" s="8"/>
      <c r="L416" s="8"/>
      <c r="M416" s="8"/>
      <c r="N416" s="8"/>
      <c r="O416" s="8"/>
      <c r="P416" s="88"/>
      <c r="Q416" s="88"/>
      <c r="R416" s="49"/>
      <c r="S416" s="49"/>
      <c r="T416" s="49"/>
      <c r="U416" s="8"/>
      <c r="V416" s="8"/>
      <c r="W416" s="8"/>
      <c r="X416" s="8"/>
      <c r="Y416" s="8"/>
      <c r="Z416" s="8"/>
      <c r="AA416" s="31"/>
      <c r="AB416" s="32"/>
      <c r="AC416" s="8"/>
      <c r="AD416" s="8"/>
      <c r="AE416" s="8"/>
      <c r="AF416" s="8"/>
      <c r="AG416" s="33"/>
      <c r="AH416" s="34"/>
      <c r="AI416" s="35"/>
    </row>
    <row r="417" spans="1:35" ht="13">
      <c r="A417" s="8"/>
      <c r="B417" s="8"/>
      <c r="C417" s="8"/>
      <c r="D417" s="8"/>
      <c r="E417" s="8"/>
      <c r="F417" s="87"/>
      <c r="G417" s="8"/>
      <c r="H417" s="8"/>
      <c r="I417" s="8"/>
      <c r="J417" s="8"/>
      <c r="K417" s="8"/>
      <c r="L417" s="8"/>
      <c r="M417" s="8"/>
      <c r="N417" s="8"/>
      <c r="O417" s="8"/>
      <c r="P417" s="88"/>
      <c r="Q417" s="88"/>
      <c r="R417" s="49"/>
      <c r="S417" s="49"/>
      <c r="T417" s="49"/>
      <c r="U417" s="8"/>
      <c r="V417" s="8"/>
      <c r="W417" s="8"/>
      <c r="X417" s="8"/>
      <c r="Y417" s="8"/>
      <c r="Z417" s="8"/>
      <c r="AA417" s="31"/>
      <c r="AB417" s="32"/>
      <c r="AC417" s="8"/>
      <c r="AD417" s="8"/>
      <c r="AE417" s="8"/>
      <c r="AF417" s="8"/>
      <c r="AG417" s="33"/>
      <c r="AH417" s="34"/>
      <c r="AI417" s="35"/>
    </row>
    <row r="418" spans="1:35" ht="13">
      <c r="A418" s="8"/>
      <c r="B418" s="8"/>
      <c r="C418" s="8"/>
      <c r="D418" s="8"/>
      <c r="E418" s="8"/>
      <c r="F418" s="87"/>
      <c r="G418" s="8"/>
      <c r="H418" s="8"/>
      <c r="I418" s="8"/>
      <c r="J418" s="8"/>
      <c r="K418" s="8"/>
      <c r="L418" s="8"/>
      <c r="M418" s="8"/>
      <c r="N418" s="8"/>
      <c r="O418" s="8"/>
      <c r="P418" s="88"/>
      <c r="Q418" s="88"/>
      <c r="R418" s="49"/>
      <c r="S418" s="49"/>
      <c r="T418" s="49"/>
      <c r="U418" s="8"/>
      <c r="V418" s="8"/>
      <c r="W418" s="8"/>
      <c r="X418" s="8"/>
      <c r="Y418" s="8"/>
      <c r="Z418" s="8"/>
      <c r="AA418" s="31"/>
      <c r="AB418" s="32"/>
      <c r="AC418" s="8"/>
      <c r="AD418" s="8"/>
      <c r="AE418" s="8"/>
      <c r="AF418" s="8"/>
      <c r="AG418" s="33"/>
      <c r="AH418" s="34"/>
      <c r="AI418" s="35"/>
    </row>
    <row r="419" spans="1:35" ht="13">
      <c r="A419" s="8"/>
      <c r="B419" s="8"/>
      <c r="C419" s="8"/>
      <c r="D419" s="8"/>
      <c r="E419" s="8"/>
      <c r="F419" s="87"/>
      <c r="G419" s="8"/>
      <c r="H419" s="8"/>
      <c r="I419" s="8"/>
      <c r="J419" s="8"/>
      <c r="K419" s="8"/>
      <c r="L419" s="8"/>
      <c r="M419" s="8"/>
      <c r="N419" s="8"/>
      <c r="O419" s="8"/>
      <c r="P419" s="88"/>
      <c r="Q419" s="88"/>
      <c r="R419" s="49"/>
      <c r="S419" s="49"/>
      <c r="T419" s="49"/>
      <c r="U419" s="8"/>
      <c r="V419" s="8"/>
      <c r="W419" s="8"/>
      <c r="X419" s="8"/>
      <c r="Y419" s="8"/>
      <c r="Z419" s="8"/>
      <c r="AA419" s="31"/>
      <c r="AB419" s="32"/>
      <c r="AC419" s="8"/>
      <c r="AD419" s="8"/>
      <c r="AE419" s="8"/>
      <c r="AF419" s="8"/>
      <c r="AG419" s="33"/>
      <c r="AH419" s="34"/>
      <c r="AI419" s="35"/>
    </row>
    <row r="420" spans="1:35" ht="13">
      <c r="A420" s="8"/>
      <c r="B420" s="8"/>
      <c r="C420" s="8"/>
      <c r="D420" s="8"/>
      <c r="E420" s="8"/>
      <c r="F420" s="87"/>
      <c r="G420" s="8"/>
      <c r="H420" s="8"/>
      <c r="I420" s="8"/>
      <c r="J420" s="8"/>
      <c r="K420" s="8"/>
      <c r="L420" s="8"/>
      <c r="M420" s="8"/>
      <c r="N420" s="8"/>
      <c r="O420" s="8"/>
      <c r="P420" s="88"/>
      <c r="Q420" s="88"/>
      <c r="R420" s="49"/>
      <c r="S420" s="49"/>
      <c r="T420" s="49"/>
      <c r="U420" s="8"/>
      <c r="V420" s="8"/>
      <c r="W420" s="8"/>
      <c r="X420" s="8"/>
      <c r="Y420" s="8"/>
      <c r="Z420" s="8"/>
      <c r="AA420" s="31"/>
      <c r="AB420" s="32"/>
      <c r="AC420" s="8"/>
      <c r="AD420" s="8"/>
      <c r="AE420" s="8"/>
      <c r="AF420" s="8"/>
      <c r="AG420" s="33"/>
      <c r="AH420" s="34"/>
      <c r="AI420" s="35"/>
    </row>
    <row r="421" spans="1:35" ht="13">
      <c r="A421" s="8"/>
      <c r="B421" s="8"/>
      <c r="C421" s="8"/>
      <c r="D421" s="8"/>
      <c r="E421" s="8"/>
      <c r="F421" s="87"/>
      <c r="G421" s="8"/>
      <c r="H421" s="8"/>
      <c r="I421" s="8"/>
      <c r="J421" s="8"/>
      <c r="K421" s="8"/>
      <c r="L421" s="8"/>
      <c r="M421" s="8"/>
      <c r="N421" s="8"/>
      <c r="O421" s="8"/>
      <c r="P421" s="88"/>
      <c r="Q421" s="88"/>
      <c r="R421" s="49"/>
      <c r="S421" s="49"/>
      <c r="T421" s="49"/>
      <c r="U421" s="8"/>
      <c r="V421" s="8"/>
      <c r="W421" s="8"/>
      <c r="X421" s="8"/>
      <c r="Y421" s="8"/>
      <c r="Z421" s="8"/>
      <c r="AA421" s="31"/>
      <c r="AB421" s="32"/>
      <c r="AC421" s="8"/>
      <c r="AD421" s="8"/>
      <c r="AE421" s="8"/>
      <c r="AF421" s="8"/>
      <c r="AG421" s="33"/>
      <c r="AH421" s="34"/>
      <c r="AI421" s="35"/>
    </row>
    <row r="422" spans="1:35" ht="13">
      <c r="A422" s="8"/>
      <c r="B422" s="8"/>
      <c r="C422" s="8"/>
      <c r="D422" s="8"/>
      <c r="E422" s="8"/>
      <c r="F422" s="87"/>
      <c r="G422" s="8"/>
      <c r="H422" s="8"/>
      <c r="I422" s="8"/>
      <c r="J422" s="8"/>
      <c r="K422" s="8"/>
      <c r="L422" s="8"/>
      <c r="M422" s="8"/>
      <c r="N422" s="8"/>
      <c r="O422" s="8"/>
      <c r="P422" s="88"/>
      <c r="Q422" s="88"/>
      <c r="R422" s="49"/>
      <c r="S422" s="49"/>
      <c r="T422" s="49"/>
      <c r="U422" s="8"/>
      <c r="V422" s="8"/>
      <c r="W422" s="8"/>
      <c r="X422" s="8"/>
      <c r="Y422" s="8"/>
      <c r="Z422" s="8"/>
      <c r="AA422" s="31"/>
      <c r="AB422" s="32"/>
      <c r="AC422" s="8"/>
      <c r="AD422" s="8"/>
      <c r="AE422" s="8"/>
      <c r="AF422" s="8"/>
      <c r="AG422" s="33"/>
      <c r="AH422" s="34"/>
      <c r="AI422" s="35"/>
    </row>
    <row r="423" spans="1:35" ht="13">
      <c r="A423" s="8"/>
      <c r="B423" s="8"/>
      <c r="C423" s="8"/>
      <c r="D423" s="8"/>
      <c r="E423" s="8"/>
      <c r="F423" s="87"/>
      <c r="G423" s="8"/>
      <c r="H423" s="8"/>
      <c r="I423" s="8"/>
      <c r="J423" s="8"/>
      <c r="K423" s="8"/>
      <c r="L423" s="8"/>
      <c r="M423" s="8"/>
      <c r="N423" s="8"/>
      <c r="O423" s="8"/>
      <c r="P423" s="88"/>
      <c r="Q423" s="88"/>
      <c r="R423" s="49"/>
      <c r="S423" s="49"/>
      <c r="T423" s="49"/>
      <c r="U423" s="8"/>
      <c r="V423" s="8"/>
      <c r="W423" s="8"/>
      <c r="X423" s="8"/>
      <c r="Y423" s="8"/>
      <c r="Z423" s="8"/>
      <c r="AA423" s="31"/>
      <c r="AB423" s="32"/>
      <c r="AC423" s="8"/>
      <c r="AD423" s="8"/>
      <c r="AE423" s="8"/>
      <c r="AF423" s="8"/>
      <c r="AG423" s="33"/>
      <c r="AH423" s="34"/>
      <c r="AI423" s="35"/>
    </row>
    <row r="424" spans="1:35" ht="13">
      <c r="A424" s="8"/>
      <c r="B424" s="8"/>
      <c r="C424" s="8"/>
      <c r="D424" s="8"/>
      <c r="E424" s="8"/>
      <c r="F424" s="87"/>
      <c r="G424" s="8"/>
      <c r="H424" s="8"/>
      <c r="I424" s="8"/>
      <c r="J424" s="8"/>
      <c r="K424" s="8"/>
      <c r="L424" s="8"/>
      <c r="M424" s="8"/>
      <c r="N424" s="8"/>
      <c r="O424" s="8"/>
      <c r="P424" s="88"/>
      <c r="Q424" s="88"/>
      <c r="R424" s="49"/>
      <c r="S424" s="49"/>
      <c r="T424" s="49"/>
      <c r="U424" s="8"/>
      <c r="V424" s="8"/>
      <c r="W424" s="8"/>
      <c r="X424" s="8"/>
      <c r="Y424" s="8"/>
      <c r="Z424" s="8"/>
      <c r="AA424" s="31"/>
      <c r="AB424" s="32"/>
      <c r="AC424" s="8"/>
      <c r="AD424" s="8"/>
      <c r="AE424" s="8"/>
      <c r="AF424" s="8"/>
      <c r="AG424" s="33"/>
      <c r="AH424" s="34"/>
      <c r="AI424" s="35"/>
    </row>
    <row r="425" spans="1:35" ht="13">
      <c r="A425" s="8"/>
      <c r="B425" s="8"/>
      <c r="C425" s="8"/>
      <c r="D425" s="8"/>
      <c r="E425" s="8"/>
      <c r="F425" s="87"/>
      <c r="G425" s="8"/>
      <c r="H425" s="8"/>
      <c r="I425" s="8"/>
      <c r="J425" s="8"/>
      <c r="K425" s="8"/>
      <c r="L425" s="8"/>
      <c r="M425" s="8"/>
      <c r="N425" s="8"/>
      <c r="O425" s="8"/>
      <c r="P425" s="88"/>
      <c r="Q425" s="88"/>
      <c r="R425" s="49"/>
      <c r="S425" s="49"/>
      <c r="T425" s="49"/>
      <c r="U425" s="8"/>
      <c r="V425" s="8"/>
      <c r="W425" s="8"/>
      <c r="X425" s="8"/>
      <c r="Y425" s="8"/>
      <c r="Z425" s="8"/>
      <c r="AA425" s="31"/>
      <c r="AB425" s="32"/>
      <c r="AC425" s="8"/>
      <c r="AD425" s="8"/>
      <c r="AE425" s="8"/>
      <c r="AF425" s="8"/>
      <c r="AG425" s="33"/>
      <c r="AH425" s="34"/>
      <c r="AI425" s="35"/>
    </row>
    <row r="426" spans="1:35" ht="13">
      <c r="A426" s="8"/>
      <c r="B426" s="8"/>
      <c r="C426" s="8"/>
      <c r="D426" s="8"/>
      <c r="E426" s="8"/>
      <c r="F426" s="87"/>
      <c r="G426" s="8"/>
      <c r="H426" s="8"/>
      <c r="I426" s="8"/>
      <c r="J426" s="8"/>
      <c r="K426" s="8"/>
      <c r="L426" s="8"/>
      <c r="M426" s="8"/>
      <c r="N426" s="8"/>
      <c r="O426" s="8"/>
      <c r="P426" s="88"/>
      <c r="Q426" s="88"/>
      <c r="R426" s="49"/>
      <c r="S426" s="49"/>
      <c r="T426" s="49"/>
      <c r="U426" s="8"/>
      <c r="V426" s="8"/>
      <c r="W426" s="8"/>
      <c r="X426" s="8"/>
      <c r="Y426" s="8"/>
      <c r="Z426" s="8"/>
      <c r="AA426" s="31"/>
      <c r="AB426" s="32"/>
      <c r="AC426" s="8"/>
      <c r="AD426" s="8"/>
      <c r="AE426" s="8"/>
      <c r="AF426" s="8"/>
      <c r="AG426" s="33"/>
      <c r="AH426" s="34"/>
      <c r="AI426" s="35"/>
    </row>
    <row r="427" spans="1:35" ht="13">
      <c r="A427" s="8"/>
      <c r="B427" s="8"/>
      <c r="C427" s="8"/>
      <c r="D427" s="8"/>
      <c r="E427" s="8"/>
      <c r="F427" s="87"/>
      <c r="G427" s="8"/>
      <c r="H427" s="8"/>
      <c r="I427" s="8"/>
      <c r="J427" s="8"/>
      <c r="K427" s="8"/>
      <c r="L427" s="8"/>
      <c r="M427" s="8"/>
      <c r="N427" s="8"/>
      <c r="O427" s="8"/>
      <c r="P427" s="88"/>
      <c r="Q427" s="88"/>
      <c r="R427" s="49"/>
      <c r="S427" s="49"/>
      <c r="T427" s="49"/>
      <c r="U427" s="8"/>
      <c r="V427" s="8"/>
      <c r="W427" s="8"/>
      <c r="X427" s="8"/>
      <c r="Y427" s="8"/>
      <c r="Z427" s="8"/>
      <c r="AA427" s="31"/>
      <c r="AB427" s="32"/>
      <c r="AC427" s="8"/>
      <c r="AD427" s="8"/>
      <c r="AE427" s="8"/>
      <c r="AF427" s="8"/>
      <c r="AG427" s="33"/>
      <c r="AH427" s="34"/>
      <c r="AI427" s="35"/>
    </row>
    <row r="428" spans="1:35" ht="13">
      <c r="A428" s="8"/>
      <c r="B428" s="8"/>
      <c r="C428" s="8"/>
      <c r="D428" s="8"/>
      <c r="E428" s="8"/>
      <c r="F428" s="87"/>
      <c r="G428" s="8"/>
      <c r="H428" s="8"/>
      <c r="I428" s="8"/>
      <c r="J428" s="8"/>
      <c r="K428" s="8"/>
      <c r="L428" s="8"/>
      <c r="M428" s="8"/>
      <c r="N428" s="8"/>
      <c r="O428" s="8"/>
      <c r="P428" s="88"/>
      <c r="Q428" s="88"/>
      <c r="R428" s="49"/>
      <c r="S428" s="49"/>
      <c r="T428" s="49"/>
      <c r="U428" s="8"/>
      <c r="V428" s="8"/>
      <c r="W428" s="8"/>
      <c r="X428" s="8"/>
      <c r="Y428" s="8"/>
      <c r="Z428" s="8"/>
      <c r="AA428" s="31"/>
      <c r="AB428" s="32"/>
      <c r="AC428" s="8"/>
      <c r="AD428" s="8"/>
      <c r="AE428" s="8"/>
      <c r="AF428" s="8"/>
      <c r="AG428" s="33"/>
      <c r="AH428" s="34"/>
      <c r="AI428" s="35"/>
    </row>
    <row r="429" spans="1:35" ht="13">
      <c r="A429" s="8"/>
      <c r="B429" s="8"/>
      <c r="C429" s="8"/>
      <c r="D429" s="8"/>
      <c r="E429" s="8"/>
      <c r="F429" s="87"/>
      <c r="G429" s="8"/>
      <c r="H429" s="8"/>
      <c r="I429" s="8"/>
      <c r="J429" s="8"/>
      <c r="K429" s="8"/>
      <c r="L429" s="8"/>
      <c r="M429" s="8"/>
      <c r="N429" s="8"/>
      <c r="O429" s="8"/>
      <c r="P429" s="88"/>
      <c r="Q429" s="88"/>
      <c r="R429" s="49"/>
      <c r="S429" s="49"/>
      <c r="T429" s="49"/>
      <c r="U429" s="8"/>
      <c r="V429" s="8"/>
      <c r="W429" s="8"/>
      <c r="X429" s="8"/>
      <c r="Y429" s="8"/>
      <c r="Z429" s="8"/>
      <c r="AA429" s="31"/>
      <c r="AB429" s="32"/>
      <c r="AC429" s="8"/>
      <c r="AD429" s="8"/>
      <c r="AE429" s="8"/>
      <c r="AF429" s="8"/>
      <c r="AG429" s="33"/>
      <c r="AH429" s="34"/>
      <c r="AI429" s="35"/>
    </row>
    <row r="430" spans="1:35" ht="13">
      <c r="A430" s="8"/>
      <c r="B430" s="8"/>
      <c r="C430" s="8"/>
      <c r="D430" s="8"/>
      <c r="E430" s="8"/>
      <c r="F430" s="87"/>
      <c r="G430" s="8"/>
      <c r="H430" s="8"/>
      <c r="I430" s="8"/>
      <c r="J430" s="8"/>
      <c r="K430" s="8"/>
      <c r="L430" s="8"/>
      <c r="M430" s="8"/>
      <c r="N430" s="8"/>
      <c r="O430" s="8"/>
      <c r="P430" s="88"/>
      <c r="Q430" s="88"/>
      <c r="R430" s="49"/>
      <c r="S430" s="49"/>
      <c r="T430" s="49"/>
      <c r="U430" s="8"/>
      <c r="V430" s="8"/>
      <c r="W430" s="8"/>
      <c r="X430" s="8"/>
      <c r="Y430" s="8"/>
      <c r="Z430" s="8"/>
      <c r="AA430" s="31"/>
      <c r="AB430" s="32"/>
      <c r="AC430" s="8"/>
      <c r="AD430" s="8"/>
      <c r="AE430" s="8"/>
      <c r="AF430" s="8"/>
      <c r="AG430" s="33"/>
      <c r="AH430" s="34"/>
      <c r="AI430" s="35"/>
    </row>
    <row r="431" spans="1:35" ht="13">
      <c r="A431" s="8"/>
      <c r="B431" s="8"/>
      <c r="C431" s="8"/>
      <c r="D431" s="8"/>
      <c r="E431" s="8"/>
      <c r="F431" s="87"/>
      <c r="G431" s="8"/>
      <c r="H431" s="8"/>
      <c r="I431" s="8"/>
      <c r="J431" s="8"/>
      <c r="K431" s="8"/>
      <c r="L431" s="8"/>
      <c r="M431" s="8"/>
      <c r="N431" s="8"/>
      <c r="O431" s="8"/>
      <c r="P431" s="88"/>
      <c r="Q431" s="88"/>
      <c r="R431" s="49"/>
      <c r="S431" s="49"/>
      <c r="T431" s="49"/>
      <c r="U431" s="8"/>
      <c r="V431" s="8"/>
      <c r="W431" s="8"/>
      <c r="X431" s="8"/>
      <c r="Y431" s="8"/>
      <c r="Z431" s="8"/>
      <c r="AA431" s="31"/>
      <c r="AB431" s="32"/>
      <c r="AC431" s="8"/>
      <c r="AD431" s="8"/>
      <c r="AE431" s="8"/>
      <c r="AF431" s="8"/>
      <c r="AG431" s="33"/>
      <c r="AH431" s="34"/>
      <c r="AI431" s="35"/>
    </row>
    <row r="432" spans="1:35" ht="13">
      <c r="A432" s="8"/>
      <c r="B432" s="8"/>
      <c r="C432" s="8"/>
      <c r="D432" s="8"/>
      <c r="E432" s="8"/>
      <c r="F432" s="87"/>
      <c r="G432" s="8"/>
      <c r="H432" s="8"/>
      <c r="I432" s="8"/>
      <c r="J432" s="8"/>
      <c r="K432" s="8"/>
      <c r="L432" s="8"/>
      <c r="M432" s="8"/>
      <c r="N432" s="8"/>
      <c r="O432" s="8"/>
      <c r="P432" s="88"/>
      <c r="Q432" s="88"/>
      <c r="R432" s="49"/>
      <c r="S432" s="49"/>
      <c r="T432" s="49"/>
      <c r="U432" s="8"/>
      <c r="V432" s="8"/>
      <c r="W432" s="8"/>
      <c r="X432" s="8"/>
      <c r="Y432" s="8"/>
      <c r="Z432" s="8"/>
      <c r="AA432" s="31"/>
      <c r="AB432" s="32"/>
      <c r="AC432" s="8"/>
      <c r="AD432" s="8"/>
      <c r="AE432" s="8"/>
      <c r="AF432" s="8"/>
      <c r="AG432" s="33"/>
      <c r="AH432" s="34"/>
      <c r="AI432" s="35"/>
    </row>
    <row r="433" spans="1:35" ht="13">
      <c r="A433" s="8"/>
      <c r="B433" s="8"/>
      <c r="C433" s="8"/>
      <c r="D433" s="8"/>
      <c r="E433" s="8"/>
      <c r="F433" s="87"/>
      <c r="G433" s="8"/>
      <c r="H433" s="8"/>
      <c r="I433" s="8"/>
      <c r="J433" s="8"/>
      <c r="K433" s="8"/>
      <c r="L433" s="8"/>
      <c r="M433" s="8"/>
      <c r="N433" s="8"/>
      <c r="O433" s="8"/>
      <c r="P433" s="88"/>
      <c r="Q433" s="88"/>
      <c r="R433" s="49"/>
      <c r="S433" s="49"/>
      <c r="T433" s="49"/>
      <c r="U433" s="8"/>
      <c r="V433" s="8"/>
      <c r="W433" s="8"/>
      <c r="X433" s="8"/>
      <c r="Y433" s="8"/>
      <c r="Z433" s="8"/>
      <c r="AA433" s="31"/>
      <c r="AB433" s="32"/>
      <c r="AC433" s="8"/>
      <c r="AD433" s="8"/>
      <c r="AE433" s="8"/>
      <c r="AF433" s="8"/>
      <c r="AG433" s="33"/>
      <c r="AH433" s="34"/>
      <c r="AI433" s="35"/>
    </row>
    <row r="434" spans="1:35" ht="13">
      <c r="A434" s="8"/>
      <c r="B434" s="8"/>
      <c r="C434" s="8"/>
      <c r="D434" s="8"/>
      <c r="E434" s="8"/>
      <c r="F434" s="87"/>
      <c r="G434" s="8"/>
      <c r="H434" s="8"/>
      <c r="I434" s="8"/>
      <c r="J434" s="8"/>
      <c r="K434" s="8"/>
      <c r="L434" s="8"/>
      <c r="M434" s="8"/>
      <c r="N434" s="8"/>
      <c r="O434" s="8"/>
      <c r="P434" s="88"/>
      <c r="Q434" s="88"/>
      <c r="R434" s="49"/>
      <c r="S434" s="49"/>
      <c r="T434" s="49"/>
      <c r="U434" s="8"/>
      <c r="V434" s="8"/>
      <c r="W434" s="8"/>
      <c r="X434" s="8"/>
      <c r="Y434" s="8"/>
      <c r="Z434" s="8"/>
      <c r="AA434" s="31"/>
      <c r="AB434" s="32"/>
      <c r="AC434" s="8"/>
      <c r="AD434" s="8"/>
      <c r="AE434" s="8"/>
      <c r="AF434" s="8"/>
      <c r="AG434" s="33"/>
      <c r="AH434" s="34"/>
      <c r="AI434" s="35"/>
    </row>
    <row r="435" spans="1:35" ht="13">
      <c r="A435" s="8"/>
      <c r="B435" s="8"/>
      <c r="C435" s="8"/>
      <c r="D435" s="8"/>
      <c r="E435" s="8"/>
      <c r="F435" s="87"/>
      <c r="G435" s="8"/>
      <c r="H435" s="8"/>
      <c r="I435" s="8"/>
      <c r="J435" s="8"/>
      <c r="K435" s="8"/>
      <c r="L435" s="8"/>
      <c r="M435" s="8"/>
      <c r="N435" s="8"/>
      <c r="O435" s="8"/>
      <c r="P435" s="88"/>
      <c r="Q435" s="88"/>
      <c r="R435" s="49"/>
      <c r="S435" s="49"/>
      <c r="T435" s="49"/>
      <c r="U435" s="8"/>
      <c r="V435" s="8"/>
      <c r="W435" s="8"/>
      <c r="X435" s="8"/>
      <c r="Y435" s="8"/>
      <c r="Z435" s="8"/>
      <c r="AA435" s="31"/>
      <c r="AB435" s="32"/>
      <c r="AC435" s="8"/>
      <c r="AD435" s="8"/>
      <c r="AE435" s="8"/>
      <c r="AF435" s="8"/>
      <c r="AG435" s="33"/>
      <c r="AH435" s="34"/>
      <c r="AI435" s="35"/>
    </row>
    <row r="436" spans="1:35" ht="13">
      <c r="A436" s="8"/>
      <c r="B436" s="8"/>
      <c r="C436" s="8"/>
      <c r="D436" s="8"/>
      <c r="E436" s="8"/>
      <c r="F436" s="87"/>
      <c r="G436" s="8"/>
      <c r="H436" s="8"/>
      <c r="I436" s="8"/>
      <c r="J436" s="8"/>
      <c r="K436" s="8"/>
      <c r="L436" s="8"/>
      <c r="M436" s="8"/>
      <c r="N436" s="8"/>
      <c r="O436" s="8"/>
      <c r="P436" s="88"/>
      <c r="Q436" s="88"/>
      <c r="R436" s="49"/>
      <c r="S436" s="49"/>
      <c r="T436" s="49"/>
      <c r="U436" s="8"/>
      <c r="V436" s="8"/>
      <c r="W436" s="8"/>
      <c r="X436" s="8"/>
      <c r="Y436" s="8"/>
      <c r="Z436" s="8"/>
      <c r="AA436" s="31"/>
      <c r="AB436" s="32"/>
      <c r="AC436" s="8"/>
      <c r="AD436" s="8"/>
      <c r="AE436" s="8"/>
      <c r="AF436" s="8"/>
      <c r="AG436" s="33"/>
      <c r="AH436" s="34"/>
      <c r="AI436" s="35"/>
    </row>
    <row r="437" spans="1:35" ht="28">
      <c r="A437" s="84"/>
      <c r="B437" s="192" t="s">
        <v>1824</v>
      </c>
      <c r="C437" s="244"/>
      <c r="D437" s="84"/>
      <c r="E437" s="84"/>
      <c r="F437" s="193"/>
      <c r="G437" s="84"/>
      <c r="H437" s="84"/>
      <c r="I437" s="84"/>
      <c r="J437" s="244"/>
      <c r="K437" s="84"/>
      <c r="L437" s="244"/>
      <c r="M437" s="244"/>
      <c r="N437" s="244"/>
      <c r="O437" s="84"/>
      <c r="P437" s="85"/>
      <c r="Q437" s="85"/>
      <c r="R437" s="245"/>
      <c r="S437" s="86"/>
      <c r="T437" s="86"/>
      <c r="U437" s="84"/>
      <c r="V437" s="84"/>
      <c r="W437" s="84"/>
      <c r="X437" s="84"/>
      <c r="Y437" s="84"/>
      <c r="Z437" s="84"/>
      <c r="AA437" s="194"/>
      <c r="AB437" s="195"/>
      <c r="AC437" s="84"/>
      <c r="AD437" s="84"/>
      <c r="AE437" s="84"/>
      <c r="AF437" s="8"/>
      <c r="AG437" s="33"/>
      <c r="AH437" s="34"/>
      <c r="AI437" s="35"/>
    </row>
    <row r="438" spans="1:35" ht="140">
      <c r="A438" s="8"/>
      <c r="B438" s="4" t="s">
        <v>1827</v>
      </c>
      <c r="C438" s="4" t="s">
        <v>1828</v>
      </c>
      <c r="D438" s="4" t="s">
        <v>707</v>
      </c>
      <c r="E438" s="4" t="s">
        <v>862</v>
      </c>
      <c r="F438" s="43" t="s">
        <v>290</v>
      </c>
      <c r="G438" s="8"/>
      <c r="H438" s="8"/>
      <c r="I438" s="8"/>
      <c r="J438" s="8"/>
      <c r="K438" s="8"/>
      <c r="L438" s="8"/>
      <c r="M438" s="8"/>
      <c r="N438" s="8"/>
      <c r="O438" s="8"/>
      <c r="P438" s="88"/>
      <c r="Q438" s="88"/>
      <c r="R438" s="49"/>
      <c r="S438" s="49"/>
      <c r="T438" s="49"/>
      <c r="U438" s="4" t="s">
        <v>90</v>
      </c>
      <c r="V438" s="8"/>
      <c r="W438" s="8"/>
      <c r="X438" s="8"/>
      <c r="Y438" s="8"/>
      <c r="Z438" s="8"/>
      <c r="AA438" s="31"/>
      <c r="AB438" s="32"/>
      <c r="AC438" s="8"/>
      <c r="AD438" s="8"/>
      <c r="AE438" s="8"/>
      <c r="AF438" s="8"/>
      <c r="AG438" s="33"/>
      <c r="AH438" s="34"/>
      <c r="AI438" s="35"/>
    </row>
    <row r="439" spans="1:35" ht="98">
      <c r="A439" s="8"/>
      <c r="B439" s="4" t="s">
        <v>1829</v>
      </c>
      <c r="C439" s="4" t="s">
        <v>1830</v>
      </c>
      <c r="D439" s="4" t="s">
        <v>707</v>
      </c>
      <c r="E439" s="4" t="s">
        <v>862</v>
      </c>
      <c r="F439" s="43" t="s">
        <v>309</v>
      </c>
      <c r="G439" s="8"/>
      <c r="H439" s="8"/>
      <c r="I439" s="8"/>
      <c r="J439" s="8"/>
      <c r="K439" s="8"/>
      <c r="L439" s="8"/>
      <c r="M439" s="8"/>
      <c r="N439" s="8"/>
      <c r="O439" s="8"/>
      <c r="P439" s="88"/>
      <c r="Q439" s="88"/>
      <c r="R439" s="49"/>
      <c r="S439" s="49"/>
      <c r="T439" s="49"/>
      <c r="U439" s="4" t="s">
        <v>90</v>
      </c>
      <c r="V439" s="8"/>
      <c r="W439" s="8"/>
      <c r="X439" s="8"/>
      <c r="Y439" s="8"/>
      <c r="Z439" s="8"/>
      <c r="AA439" s="31"/>
      <c r="AB439" s="32"/>
      <c r="AC439" s="8"/>
      <c r="AD439" s="8"/>
      <c r="AE439" s="8"/>
      <c r="AF439" s="8"/>
      <c r="AG439" s="33"/>
      <c r="AH439" s="34"/>
      <c r="AI439" s="35"/>
    </row>
    <row r="440" spans="1:35" ht="182">
      <c r="A440" s="8"/>
      <c r="B440" s="4" t="s">
        <v>1831</v>
      </c>
      <c r="C440" s="4" t="s">
        <v>1832</v>
      </c>
      <c r="D440" s="4" t="s">
        <v>707</v>
      </c>
      <c r="E440" s="4" t="s">
        <v>862</v>
      </c>
      <c r="F440" s="43" t="s">
        <v>317</v>
      </c>
      <c r="G440" s="8"/>
      <c r="H440" s="8"/>
      <c r="I440" s="8"/>
      <c r="J440" s="8"/>
      <c r="K440" s="8"/>
      <c r="L440" s="8"/>
      <c r="M440" s="8"/>
      <c r="N440" s="8"/>
      <c r="O440" s="8"/>
      <c r="P440" s="88"/>
      <c r="Q440" s="88"/>
      <c r="R440" s="49"/>
      <c r="S440" s="49"/>
      <c r="T440" s="49"/>
      <c r="U440" s="4" t="s">
        <v>90</v>
      </c>
      <c r="V440" s="8"/>
      <c r="W440" s="8"/>
      <c r="X440" s="8"/>
      <c r="Y440" s="8"/>
      <c r="Z440" s="8"/>
      <c r="AA440" s="31"/>
      <c r="AB440" s="32"/>
      <c r="AC440" s="8"/>
      <c r="AD440" s="8"/>
      <c r="AE440" s="8"/>
      <c r="AF440" s="8"/>
      <c r="AG440" s="33"/>
      <c r="AH440" s="34"/>
      <c r="AI440" s="35"/>
    </row>
    <row r="441" spans="1:35" ht="164.25" customHeight="1">
      <c r="A441" s="8"/>
      <c r="B441" s="4" t="s">
        <v>1835</v>
      </c>
      <c r="C441" s="4" t="s">
        <v>1836</v>
      </c>
      <c r="D441" s="4" t="s">
        <v>707</v>
      </c>
      <c r="E441" s="4" t="s">
        <v>862</v>
      </c>
      <c r="F441" s="43" t="s">
        <v>322</v>
      </c>
      <c r="G441" s="8"/>
      <c r="H441" s="8"/>
      <c r="I441" s="8"/>
      <c r="J441" s="8"/>
      <c r="K441" s="8"/>
      <c r="L441" s="8"/>
      <c r="M441" s="8"/>
      <c r="N441" s="8"/>
      <c r="O441" s="8"/>
      <c r="P441" s="88"/>
      <c r="Q441" s="88"/>
      <c r="R441" s="49"/>
      <c r="S441" s="49"/>
      <c r="T441" s="49"/>
      <c r="U441" s="4" t="s">
        <v>96</v>
      </c>
      <c r="V441" s="8"/>
      <c r="W441" s="8"/>
      <c r="X441" s="8"/>
      <c r="Y441" s="8"/>
      <c r="Z441" s="8"/>
      <c r="AA441" s="31"/>
      <c r="AB441" s="32"/>
      <c r="AC441" s="8"/>
      <c r="AD441" s="8"/>
      <c r="AE441" s="8"/>
      <c r="AF441" s="8"/>
      <c r="AG441" s="33"/>
      <c r="AH441" s="34"/>
      <c r="AI441" s="35"/>
    </row>
    <row r="442" spans="1:35" ht="140">
      <c r="A442" s="8"/>
      <c r="B442" s="4" t="s">
        <v>1837</v>
      </c>
      <c r="C442" s="4" t="s">
        <v>1838</v>
      </c>
      <c r="D442" s="4" t="s">
        <v>707</v>
      </c>
      <c r="E442" s="4" t="s">
        <v>862</v>
      </c>
      <c r="F442" s="43" t="s">
        <v>329</v>
      </c>
      <c r="G442" s="8"/>
      <c r="H442" s="8"/>
      <c r="I442" s="8"/>
      <c r="J442" s="8"/>
      <c r="K442" s="8"/>
      <c r="L442" s="8"/>
      <c r="M442" s="8"/>
      <c r="N442" s="8"/>
      <c r="O442" s="8"/>
      <c r="P442" s="88"/>
      <c r="Q442" s="88"/>
      <c r="R442" s="49"/>
      <c r="S442" s="49"/>
      <c r="T442" s="49"/>
      <c r="U442" s="4" t="s">
        <v>96</v>
      </c>
      <c r="V442" s="8"/>
      <c r="W442" s="8"/>
      <c r="X442" s="8"/>
      <c r="Y442" s="8"/>
      <c r="Z442" s="8"/>
      <c r="AA442" s="31"/>
      <c r="AB442" s="32"/>
      <c r="AC442" s="8"/>
      <c r="AD442" s="8"/>
      <c r="AE442" s="8"/>
      <c r="AF442" s="8"/>
      <c r="AG442" s="33"/>
      <c r="AH442" s="34"/>
      <c r="AI442" s="35"/>
    </row>
    <row r="443" spans="1:35" ht="103.5" customHeight="1">
      <c r="A443" s="8"/>
      <c r="B443" s="4" t="s">
        <v>1839</v>
      </c>
      <c r="C443" s="4" t="s">
        <v>1840</v>
      </c>
      <c r="D443" s="4" t="s">
        <v>707</v>
      </c>
      <c r="E443" s="4" t="s">
        <v>862</v>
      </c>
      <c r="F443" s="43" t="s">
        <v>335</v>
      </c>
      <c r="G443" s="8"/>
      <c r="H443" s="8"/>
      <c r="I443" s="8"/>
      <c r="J443" s="8"/>
      <c r="K443" s="8"/>
      <c r="L443" s="8"/>
      <c r="M443" s="8"/>
      <c r="N443" s="8"/>
      <c r="O443" s="8"/>
      <c r="P443" s="88"/>
      <c r="Q443" s="88"/>
      <c r="R443" s="49"/>
      <c r="S443" s="49"/>
      <c r="T443" s="49"/>
      <c r="U443" s="4" t="s">
        <v>96</v>
      </c>
      <c r="V443" s="8"/>
      <c r="W443" s="8"/>
      <c r="X443" s="8"/>
      <c r="Y443" s="8"/>
      <c r="Z443" s="8"/>
      <c r="AA443" s="31"/>
      <c r="AB443" s="32"/>
      <c r="AC443" s="8"/>
      <c r="AD443" s="8"/>
      <c r="AE443" s="8"/>
      <c r="AF443" s="8"/>
      <c r="AG443" s="33"/>
      <c r="AH443" s="34"/>
      <c r="AI443" s="35"/>
    </row>
    <row r="444" spans="1:35" ht="147" customHeight="1">
      <c r="A444" s="8"/>
      <c r="B444" s="4" t="s">
        <v>1841</v>
      </c>
      <c r="C444" s="4" t="s">
        <v>1840</v>
      </c>
      <c r="D444" s="4" t="s">
        <v>707</v>
      </c>
      <c r="E444" s="4" t="s">
        <v>862</v>
      </c>
      <c r="F444" s="43" t="s">
        <v>341</v>
      </c>
      <c r="G444" s="8"/>
      <c r="H444" s="8"/>
      <c r="I444" s="8"/>
      <c r="J444" s="8"/>
      <c r="K444" s="8"/>
      <c r="L444" s="8"/>
      <c r="M444" s="8"/>
      <c r="N444" s="8"/>
      <c r="O444" s="8"/>
      <c r="P444" s="88"/>
      <c r="Q444" s="88"/>
      <c r="R444" s="49"/>
      <c r="S444" s="49"/>
      <c r="T444" s="49"/>
      <c r="U444" s="4" t="s">
        <v>96</v>
      </c>
      <c r="V444" s="8"/>
      <c r="W444" s="8"/>
      <c r="X444" s="8"/>
      <c r="Y444" s="8"/>
      <c r="Z444" s="8"/>
      <c r="AA444" s="31"/>
      <c r="AB444" s="32"/>
      <c r="AC444" s="8"/>
      <c r="AD444" s="8"/>
      <c r="AE444" s="8"/>
      <c r="AF444" s="8"/>
      <c r="AG444" s="33"/>
      <c r="AH444" s="34"/>
      <c r="AI444" s="35"/>
    </row>
    <row r="445" spans="1:35" ht="98">
      <c r="A445" s="8"/>
      <c r="B445" s="4" t="s">
        <v>1844</v>
      </c>
      <c r="C445" s="4" t="s">
        <v>1845</v>
      </c>
      <c r="D445" s="4" t="s">
        <v>707</v>
      </c>
      <c r="E445" s="4" t="s">
        <v>862</v>
      </c>
      <c r="F445" s="43" t="s">
        <v>347</v>
      </c>
      <c r="G445" s="8"/>
      <c r="H445" s="8"/>
      <c r="I445" s="8"/>
      <c r="J445" s="8"/>
      <c r="K445" s="8"/>
      <c r="L445" s="8"/>
      <c r="M445" s="8"/>
      <c r="N445" s="8"/>
      <c r="O445" s="8"/>
      <c r="P445" s="88"/>
      <c r="Q445" s="88"/>
      <c r="R445" s="49"/>
      <c r="S445" s="49"/>
      <c r="T445" s="49"/>
      <c r="U445" s="4" t="s">
        <v>96</v>
      </c>
      <c r="V445" s="8"/>
      <c r="W445" s="8"/>
      <c r="X445" s="8"/>
      <c r="Y445" s="8"/>
      <c r="Z445" s="8"/>
      <c r="AA445" s="31"/>
      <c r="AB445" s="32"/>
      <c r="AC445" s="8"/>
      <c r="AD445" s="8"/>
      <c r="AE445" s="8"/>
      <c r="AF445" s="8"/>
      <c r="AG445" s="33"/>
      <c r="AH445" s="34"/>
      <c r="AI445" s="35"/>
    </row>
    <row r="446" spans="1:35" ht="98">
      <c r="A446" s="8"/>
      <c r="B446" s="4" t="s">
        <v>1846</v>
      </c>
      <c r="C446" s="4" t="s">
        <v>1847</v>
      </c>
      <c r="D446" s="4" t="s">
        <v>707</v>
      </c>
      <c r="E446" s="4" t="s">
        <v>862</v>
      </c>
      <c r="F446" s="43" t="s">
        <v>352</v>
      </c>
      <c r="G446" s="8"/>
      <c r="H446" s="8"/>
      <c r="I446" s="8"/>
      <c r="J446" s="8"/>
      <c r="K446" s="8"/>
      <c r="L446" s="8"/>
      <c r="M446" s="8"/>
      <c r="N446" s="8"/>
      <c r="O446" s="8"/>
      <c r="P446" s="88"/>
      <c r="Q446" s="88"/>
      <c r="R446" s="49"/>
      <c r="S446" s="49"/>
      <c r="T446" s="49"/>
      <c r="U446" s="4" t="s">
        <v>96</v>
      </c>
      <c r="V446" s="8"/>
      <c r="W446" s="8"/>
      <c r="X446" s="8"/>
      <c r="Y446" s="8"/>
      <c r="Z446" s="8"/>
      <c r="AA446" s="31"/>
      <c r="AB446" s="32"/>
      <c r="AC446" s="8"/>
      <c r="AD446" s="8"/>
      <c r="AE446" s="8"/>
      <c r="AF446" s="8"/>
      <c r="AG446" s="33"/>
      <c r="AH446" s="34"/>
      <c r="AI446" s="35"/>
    </row>
    <row r="447" spans="1:35" ht="56">
      <c r="A447" s="8"/>
      <c r="B447" s="4" t="s">
        <v>1848</v>
      </c>
      <c r="C447" s="4" t="s">
        <v>1849</v>
      </c>
      <c r="D447" s="4" t="s">
        <v>707</v>
      </c>
      <c r="E447" s="4" t="s">
        <v>862</v>
      </c>
      <c r="F447" s="43" t="s">
        <v>416</v>
      </c>
      <c r="G447" s="8"/>
      <c r="H447" s="8"/>
      <c r="I447" s="8"/>
      <c r="J447" s="8"/>
      <c r="K447" s="8"/>
      <c r="L447" s="8"/>
      <c r="M447" s="8"/>
      <c r="N447" s="8"/>
      <c r="O447" s="8"/>
      <c r="P447" s="88"/>
      <c r="Q447" s="88"/>
      <c r="R447" s="49"/>
      <c r="S447" s="49"/>
      <c r="T447" s="49"/>
      <c r="U447" s="4" t="s">
        <v>96</v>
      </c>
      <c r="V447" s="8"/>
      <c r="W447" s="8"/>
      <c r="X447" s="8"/>
      <c r="Y447" s="8"/>
      <c r="Z447" s="8"/>
      <c r="AA447" s="31"/>
      <c r="AB447" s="32"/>
      <c r="AC447" s="8"/>
      <c r="AD447" s="8"/>
      <c r="AE447" s="8"/>
      <c r="AF447" s="8"/>
      <c r="AG447" s="33"/>
      <c r="AH447" s="34"/>
      <c r="AI447" s="35"/>
    </row>
    <row r="448" spans="1:35" ht="182">
      <c r="A448" s="8"/>
      <c r="B448" s="4" t="s">
        <v>1852</v>
      </c>
      <c r="C448" s="4" t="s">
        <v>1853</v>
      </c>
      <c r="D448" s="4" t="s">
        <v>707</v>
      </c>
      <c r="E448" s="4" t="s">
        <v>862</v>
      </c>
      <c r="F448" s="43" t="s">
        <v>420</v>
      </c>
      <c r="G448" s="8"/>
      <c r="H448" s="8"/>
      <c r="I448" s="8"/>
      <c r="J448" s="8"/>
      <c r="K448" s="8"/>
      <c r="L448" s="8"/>
      <c r="M448" s="8"/>
      <c r="N448" s="8"/>
      <c r="O448" s="8"/>
      <c r="P448" s="88"/>
      <c r="Q448" s="88"/>
      <c r="R448" s="49"/>
      <c r="S448" s="49"/>
      <c r="T448" s="49"/>
      <c r="U448" s="4" t="s">
        <v>90</v>
      </c>
      <c r="V448" s="8"/>
      <c r="W448" s="8"/>
      <c r="X448" s="8"/>
      <c r="Y448" s="8"/>
      <c r="Z448" s="8"/>
      <c r="AA448" s="31"/>
      <c r="AB448" s="32"/>
      <c r="AC448" s="8"/>
      <c r="AD448" s="8"/>
      <c r="AE448" s="8"/>
      <c r="AF448" s="8"/>
      <c r="AG448" s="33"/>
      <c r="AH448" s="34"/>
      <c r="AI448" s="35"/>
    </row>
    <row r="449" spans="1:35" ht="56">
      <c r="A449" s="8"/>
      <c r="B449" s="4" t="s">
        <v>1854</v>
      </c>
      <c r="C449" s="4" t="s">
        <v>1855</v>
      </c>
      <c r="D449" s="4" t="s">
        <v>707</v>
      </c>
      <c r="E449" s="4" t="s">
        <v>862</v>
      </c>
      <c r="F449" s="43" t="s">
        <v>425</v>
      </c>
      <c r="G449" s="8"/>
      <c r="H449" s="8"/>
      <c r="I449" s="8"/>
      <c r="J449" s="8"/>
      <c r="K449" s="8"/>
      <c r="L449" s="8"/>
      <c r="M449" s="8"/>
      <c r="N449" s="8"/>
      <c r="O449" s="8"/>
      <c r="P449" s="88"/>
      <c r="Q449" s="88"/>
      <c r="R449" s="49"/>
      <c r="S449" s="49"/>
      <c r="T449" s="49"/>
      <c r="U449" s="4" t="s">
        <v>96</v>
      </c>
      <c r="V449" s="8"/>
      <c r="W449" s="8"/>
      <c r="X449" s="8"/>
      <c r="Y449" s="8"/>
      <c r="Z449" s="8"/>
      <c r="AA449" s="31"/>
      <c r="AB449" s="32"/>
      <c r="AC449" s="8"/>
      <c r="AD449" s="8"/>
      <c r="AE449" s="8"/>
      <c r="AF449" s="8"/>
      <c r="AG449" s="33"/>
      <c r="AH449" s="34"/>
      <c r="AI449" s="35"/>
    </row>
    <row r="450" spans="1:35" ht="70">
      <c r="A450" s="8"/>
      <c r="B450" s="4" t="s">
        <v>1858</v>
      </c>
      <c r="C450" s="4" t="s">
        <v>1859</v>
      </c>
      <c r="D450" s="4" t="s">
        <v>707</v>
      </c>
      <c r="E450" s="4" t="s">
        <v>862</v>
      </c>
      <c r="F450" s="43" t="s">
        <v>428</v>
      </c>
      <c r="G450" s="8"/>
      <c r="H450" s="8"/>
      <c r="I450" s="8"/>
      <c r="J450" s="8"/>
      <c r="K450" s="8"/>
      <c r="L450" s="8"/>
      <c r="M450" s="8"/>
      <c r="N450" s="8"/>
      <c r="O450" s="8"/>
      <c r="P450" s="88"/>
      <c r="Q450" s="88"/>
      <c r="R450" s="49"/>
      <c r="S450" s="49"/>
      <c r="T450" s="49"/>
      <c r="U450" s="4" t="s">
        <v>96</v>
      </c>
      <c r="V450" s="8"/>
      <c r="W450" s="8"/>
      <c r="X450" s="8"/>
      <c r="Y450" s="8"/>
      <c r="Z450" s="8"/>
      <c r="AA450" s="31"/>
      <c r="AB450" s="32"/>
      <c r="AC450" s="8"/>
      <c r="AD450" s="8"/>
      <c r="AE450" s="8"/>
      <c r="AF450" s="8"/>
      <c r="AG450" s="33"/>
      <c r="AH450" s="34"/>
      <c r="AI450" s="35"/>
    </row>
    <row r="451" spans="1:35" ht="140">
      <c r="A451" s="8"/>
      <c r="B451" s="4" t="s">
        <v>1860</v>
      </c>
      <c r="C451" s="4" t="s">
        <v>1861</v>
      </c>
      <c r="D451" s="4" t="s">
        <v>707</v>
      </c>
      <c r="E451" s="4" t="s">
        <v>862</v>
      </c>
      <c r="F451" s="43" t="s">
        <v>431</v>
      </c>
      <c r="G451" s="8"/>
      <c r="H451" s="8"/>
      <c r="I451" s="8"/>
      <c r="J451" s="8"/>
      <c r="K451" s="8"/>
      <c r="L451" s="8"/>
      <c r="M451" s="8"/>
      <c r="N451" s="8"/>
      <c r="O451" s="8"/>
      <c r="P451" s="88"/>
      <c r="Q451" s="88"/>
      <c r="R451" s="49"/>
      <c r="S451" s="49"/>
      <c r="T451" s="49"/>
      <c r="U451" s="4" t="s">
        <v>90</v>
      </c>
      <c r="V451" s="8"/>
      <c r="W451" s="8"/>
      <c r="X451" s="8"/>
      <c r="Y451" s="8"/>
      <c r="Z451" s="8"/>
      <c r="AA451" s="31"/>
      <c r="AB451" s="32"/>
      <c r="AC451" s="8"/>
      <c r="AD451" s="8"/>
      <c r="AE451" s="8"/>
      <c r="AF451" s="8"/>
      <c r="AG451" s="33"/>
      <c r="AH451" s="34"/>
      <c r="AI451" s="35"/>
    </row>
    <row r="452" spans="1:35" ht="196">
      <c r="A452" s="8"/>
      <c r="B452" s="4" t="s">
        <v>1862</v>
      </c>
      <c r="C452" s="4" t="s">
        <v>1863</v>
      </c>
      <c r="D452" s="4" t="s">
        <v>707</v>
      </c>
      <c r="E452" s="4" t="s">
        <v>862</v>
      </c>
      <c r="F452" s="43" t="s">
        <v>434</v>
      </c>
      <c r="G452" s="8"/>
      <c r="H452" s="8"/>
      <c r="I452" s="8"/>
      <c r="J452" s="8"/>
      <c r="K452" s="8"/>
      <c r="L452" s="8"/>
      <c r="M452" s="8"/>
      <c r="N452" s="8"/>
      <c r="O452" s="8"/>
      <c r="P452" s="88"/>
      <c r="Q452" s="88"/>
      <c r="R452" s="49"/>
      <c r="S452" s="49"/>
      <c r="T452" s="49"/>
      <c r="U452" s="4" t="s">
        <v>96</v>
      </c>
      <c r="V452" s="8"/>
      <c r="W452" s="8"/>
      <c r="X452" s="8"/>
      <c r="Y452" s="8"/>
      <c r="Z452" s="8"/>
      <c r="AA452" s="31"/>
      <c r="AB452" s="32"/>
      <c r="AC452" s="8"/>
      <c r="AD452" s="8"/>
      <c r="AE452" s="8"/>
      <c r="AF452" s="8"/>
      <c r="AG452" s="33"/>
      <c r="AH452" s="34"/>
      <c r="AI452" s="35"/>
    </row>
    <row r="453" spans="1:35" ht="100.5" customHeight="1">
      <c r="A453" s="8"/>
      <c r="B453" s="4" t="s">
        <v>1864</v>
      </c>
      <c r="C453" s="4" t="s">
        <v>1865</v>
      </c>
      <c r="D453" s="4" t="s">
        <v>707</v>
      </c>
      <c r="E453" s="4" t="s">
        <v>862</v>
      </c>
      <c r="F453" s="43" t="s">
        <v>437</v>
      </c>
      <c r="G453" s="8"/>
      <c r="H453" s="8"/>
      <c r="I453" s="8"/>
      <c r="J453" s="8"/>
      <c r="K453" s="8"/>
      <c r="L453" s="8"/>
      <c r="M453" s="8"/>
      <c r="N453" s="8"/>
      <c r="O453" s="8"/>
      <c r="P453" s="88"/>
      <c r="Q453" s="88"/>
      <c r="R453" s="49"/>
      <c r="S453" s="49"/>
      <c r="T453" s="49"/>
      <c r="U453" s="4" t="s">
        <v>96</v>
      </c>
      <c r="V453" s="8"/>
      <c r="W453" s="8"/>
      <c r="X453" s="8"/>
      <c r="Y453" s="8"/>
      <c r="Z453" s="8"/>
      <c r="AA453" s="31"/>
      <c r="AB453" s="32"/>
      <c r="AC453" s="8"/>
      <c r="AD453" s="8"/>
      <c r="AE453" s="8"/>
      <c r="AF453" s="8"/>
      <c r="AG453" s="33"/>
      <c r="AH453" s="34"/>
      <c r="AI453" s="35"/>
    </row>
    <row r="454" spans="1:35" ht="140">
      <c r="A454" s="8"/>
      <c r="B454" s="4" t="s">
        <v>1868</v>
      </c>
      <c r="C454" s="4" t="s">
        <v>1869</v>
      </c>
      <c r="D454" s="4" t="s">
        <v>707</v>
      </c>
      <c r="E454" s="4" t="s">
        <v>862</v>
      </c>
      <c r="F454" s="43" t="s">
        <v>442</v>
      </c>
      <c r="G454" s="8"/>
      <c r="H454" s="8"/>
      <c r="I454" s="8"/>
      <c r="J454" s="8"/>
      <c r="K454" s="8"/>
      <c r="L454" s="8"/>
      <c r="M454" s="8"/>
      <c r="N454" s="8"/>
      <c r="O454" s="8"/>
      <c r="P454" s="88"/>
      <c r="Q454" s="88"/>
      <c r="R454" s="49"/>
      <c r="S454" s="49"/>
      <c r="T454" s="49"/>
      <c r="U454" s="4" t="s">
        <v>90</v>
      </c>
      <c r="V454" s="8"/>
      <c r="W454" s="8"/>
      <c r="X454" s="8"/>
      <c r="Y454" s="8"/>
      <c r="Z454" s="8"/>
      <c r="AA454" s="31"/>
      <c r="AB454" s="32"/>
      <c r="AC454" s="8"/>
      <c r="AD454" s="8"/>
      <c r="AE454" s="8"/>
      <c r="AF454" s="8"/>
      <c r="AG454" s="33"/>
      <c r="AH454" s="34"/>
      <c r="AI454" s="35"/>
    </row>
    <row r="455" spans="1:35" ht="111" customHeight="1">
      <c r="A455" s="8"/>
      <c r="B455" s="4" t="s">
        <v>1870</v>
      </c>
      <c r="C455" s="4" t="s">
        <v>1871</v>
      </c>
      <c r="D455" s="4" t="s">
        <v>707</v>
      </c>
      <c r="E455" s="4" t="s">
        <v>862</v>
      </c>
      <c r="F455" s="43" t="s">
        <v>445</v>
      </c>
      <c r="G455" s="8"/>
      <c r="H455" s="8"/>
      <c r="I455" s="8"/>
      <c r="J455" s="8"/>
      <c r="K455" s="8"/>
      <c r="L455" s="8"/>
      <c r="M455" s="8"/>
      <c r="N455" s="8"/>
      <c r="O455" s="8"/>
      <c r="P455" s="88"/>
      <c r="Q455" s="88"/>
      <c r="R455" s="49"/>
      <c r="S455" s="49"/>
      <c r="T455" s="49"/>
      <c r="U455" s="4" t="s">
        <v>96</v>
      </c>
      <c r="V455" s="8"/>
      <c r="W455" s="8"/>
      <c r="X455" s="8"/>
      <c r="Y455" s="8"/>
      <c r="Z455" s="8"/>
      <c r="AA455" s="31"/>
      <c r="AB455" s="32"/>
      <c r="AC455" s="8"/>
      <c r="AD455" s="8"/>
      <c r="AE455" s="8"/>
      <c r="AF455" s="8"/>
      <c r="AG455" s="33"/>
      <c r="AH455" s="34"/>
      <c r="AI455" s="35"/>
    </row>
    <row r="456" spans="1:35" ht="126">
      <c r="A456" s="8"/>
      <c r="B456" s="4" t="s">
        <v>1872</v>
      </c>
      <c r="C456" s="4" t="s">
        <v>1873</v>
      </c>
      <c r="D456" s="4" t="s">
        <v>707</v>
      </c>
      <c r="E456" s="4" t="s">
        <v>862</v>
      </c>
      <c r="F456" s="43" t="s">
        <v>448</v>
      </c>
      <c r="G456" s="8"/>
      <c r="H456" s="8"/>
      <c r="I456" s="8"/>
      <c r="J456" s="8"/>
      <c r="K456" s="8"/>
      <c r="L456" s="8"/>
      <c r="M456" s="8"/>
      <c r="N456" s="8"/>
      <c r="O456" s="8"/>
      <c r="P456" s="88"/>
      <c r="Q456" s="88"/>
      <c r="R456" s="49"/>
      <c r="S456" s="49"/>
      <c r="T456" s="49"/>
      <c r="U456" s="4" t="s">
        <v>90</v>
      </c>
      <c r="V456" s="8"/>
      <c r="W456" s="8"/>
      <c r="X456" s="8"/>
      <c r="Y456" s="8"/>
      <c r="Z456" s="8"/>
      <c r="AA456" s="31"/>
      <c r="AB456" s="32"/>
      <c r="AC456" s="8"/>
      <c r="AD456" s="8"/>
      <c r="AE456" s="8"/>
      <c r="AF456" s="8"/>
      <c r="AG456" s="33"/>
      <c r="AH456" s="34"/>
      <c r="AI456" s="35"/>
    </row>
    <row r="457" spans="1:35" ht="154">
      <c r="A457" s="8"/>
      <c r="B457" s="4" t="s">
        <v>1875</v>
      </c>
      <c r="C457" s="4" t="s">
        <v>1876</v>
      </c>
      <c r="D457" s="4" t="s">
        <v>707</v>
      </c>
      <c r="E457" s="4" t="s">
        <v>862</v>
      </c>
      <c r="F457" s="43" t="s">
        <v>453</v>
      </c>
      <c r="G457" s="8"/>
      <c r="H457" s="8"/>
      <c r="I457" s="8"/>
      <c r="J457" s="8"/>
      <c r="K457" s="8"/>
      <c r="L457" s="8"/>
      <c r="M457" s="8"/>
      <c r="N457" s="8"/>
      <c r="O457" s="8"/>
      <c r="P457" s="88"/>
      <c r="Q457" s="88"/>
      <c r="R457" s="49"/>
      <c r="S457" s="49"/>
      <c r="T457" s="49"/>
      <c r="U457" s="4" t="s">
        <v>96</v>
      </c>
      <c r="V457" s="8"/>
      <c r="W457" s="8"/>
      <c r="X457" s="8"/>
      <c r="Y457" s="8"/>
      <c r="Z457" s="8"/>
      <c r="AA457" s="31"/>
      <c r="AB457" s="32"/>
      <c r="AC457" s="8"/>
      <c r="AD457" s="8"/>
      <c r="AE457" s="8"/>
      <c r="AF457" s="8"/>
      <c r="AG457" s="33"/>
      <c r="AH457" s="34"/>
      <c r="AI457" s="35"/>
    </row>
    <row r="458" spans="1:35" ht="129.75" customHeight="1">
      <c r="A458" s="8"/>
      <c r="B458" s="4" t="s">
        <v>1877</v>
      </c>
      <c r="C458" s="4" t="s">
        <v>1877</v>
      </c>
      <c r="D458" s="4" t="s">
        <v>707</v>
      </c>
      <c r="E458" s="4" t="s">
        <v>862</v>
      </c>
      <c r="F458" s="43" t="s">
        <v>1527</v>
      </c>
      <c r="G458" s="8"/>
      <c r="H458" s="8"/>
      <c r="I458" s="8"/>
      <c r="J458" s="8"/>
      <c r="K458" s="8"/>
      <c r="L458" s="8"/>
      <c r="M458" s="8"/>
      <c r="N458" s="8"/>
      <c r="O458" s="8"/>
      <c r="P458" s="88"/>
      <c r="Q458" s="88"/>
      <c r="R458" s="49"/>
      <c r="S458" s="49"/>
      <c r="T458" s="49"/>
      <c r="U458" s="4" t="s">
        <v>96</v>
      </c>
      <c r="V458" s="8"/>
      <c r="W458" s="8"/>
      <c r="X458" s="8"/>
      <c r="Y458" s="8"/>
      <c r="Z458" s="8"/>
      <c r="AA458" s="31"/>
      <c r="AB458" s="32"/>
      <c r="AC458" s="8"/>
      <c r="AD458" s="8"/>
      <c r="AE458" s="8"/>
      <c r="AF458" s="8"/>
      <c r="AG458" s="33"/>
      <c r="AH458" s="34"/>
      <c r="AI458" s="35"/>
    </row>
    <row r="459" spans="1:35" ht="114" customHeight="1">
      <c r="A459" s="8"/>
      <c r="B459" s="4" t="s">
        <v>1878</v>
      </c>
      <c r="C459" s="4" t="s">
        <v>1879</v>
      </c>
      <c r="D459" s="4" t="s">
        <v>707</v>
      </c>
      <c r="E459" s="4" t="s">
        <v>862</v>
      </c>
      <c r="F459" s="43" t="s">
        <v>1532</v>
      </c>
      <c r="G459" s="8"/>
      <c r="H459" s="8"/>
      <c r="I459" s="8"/>
      <c r="J459" s="8"/>
      <c r="K459" s="8"/>
      <c r="L459" s="8"/>
      <c r="M459" s="8"/>
      <c r="N459" s="8"/>
      <c r="O459" s="8"/>
      <c r="P459" s="88"/>
      <c r="Q459" s="88"/>
      <c r="R459" s="49"/>
      <c r="S459" s="49"/>
      <c r="T459" s="49"/>
      <c r="U459" s="4" t="s">
        <v>90</v>
      </c>
      <c r="V459" s="8"/>
      <c r="W459" s="8"/>
      <c r="X459" s="8"/>
      <c r="Y459" s="8"/>
      <c r="Z459" s="8"/>
      <c r="AA459" s="31"/>
      <c r="AB459" s="32"/>
      <c r="AC459" s="8"/>
      <c r="AD459" s="8"/>
      <c r="AE459" s="8"/>
      <c r="AF459" s="8"/>
      <c r="AG459" s="33"/>
      <c r="AH459" s="34"/>
      <c r="AI459" s="35"/>
    </row>
    <row r="460" spans="1:35" ht="126">
      <c r="A460" s="8"/>
      <c r="B460" s="4" t="s">
        <v>1881</v>
      </c>
      <c r="C460" s="4" t="s">
        <v>1882</v>
      </c>
      <c r="D460" s="4" t="s">
        <v>707</v>
      </c>
      <c r="E460" s="4" t="s">
        <v>862</v>
      </c>
      <c r="F460" s="43" t="s">
        <v>1535</v>
      </c>
      <c r="G460" s="8"/>
      <c r="H460" s="8"/>
      <c r="I460" s="8"/>
      <c r="J460" s="8"/>
      <c r="K460" s="8"/>
      <c r="L460" s="8"/>
      <c r="M460" s="8"/>
      <c r="N460" s="8"/>
      <c r="O460" s="8"/>
      <c r="P460" s="88"/>
      <c r="Q460" s="88"/>
      <c r="R460" s="49"/>
      <c r="S460" s="49"/>
      <c r="T460" s="49"/>
      <c r="U460" s="4" t="s">
        <v>90</v>
      </c>
      <c r="V460" s="8"/>
      <c r="W460" s="8"/>
      <c r="X460" s="8"/>
      <c r="Y460" s="8"/>
      <c r="Z460" s="8"/>
      <c r="AA460" s="31"/>
      <c r="AB460" s="32"/>
      <c r="AC460" s="8"/>
      <c r="AD460" s="8"/>
      <c r="AE460" s="8"/>
      <c r="AF460" s="8"/>
      <c r="AG460" s="33"/>
      <c r="AH460" s="34"/>
      <c r="AI460" s="35"/>
    </row>
    <row r="461" spans="1:35" ht="140">
      <c r="A461" s="8"/>
      <c r="B461" s="4" t="s">
        <v>1883</v>
      </c>
      <c r="C461" s="4" t="s">
        <v>1884</v>
      </c>
      <c r="D461" s="4" t="s">
        <v>707</v>
      </c>
      <c r="E461" s="4" t="s">
        <v>862</v>
      </c>
      <c r="F461" s="43" t="s">
        <v>1538</v>
      </c>
      <c r="G461" s="8"/>
      <c r="H461" s="8"/>
      <c r="I461" s="8"/>
      <c r="J461" s="8"/>
      <c r="K461" s="8"/>
      <c r="L461" s="8"/>
      <c r="M461" s="8"/>
      <c r="N461" s="8"/>
      <c r="O461" s="8"/>
      <c r="P461" s="88"/>
      <c r="Q461" s="88"/>
      <c r="R461" s="49"/>
      <c r="S461" s="49"/>
      <c r="T461" s="49"/>
      <c r="U461" s="4" t="s">
        <v>90</v>
      </c>
      <c r="V461" s="8"/>
      <c r="W461" s="8"/>
      <c r="X461" s="8"/>
      <c r="Y461" s="8"/>
      <c r="Z461" s="8"/>
      <c r="AA461" s="31"/>
      <c r="AB461" s="32"/>
      <c r="AC461" s="8"/>
      <c r="AD461" s="8"/>
      <c r="AE461" s="8"/>
      <c r="AF461" s="8"/>
      <c r="AG461" s="33"/>
      <c r="AH461" s="34"/>
      <c r="AI461" s="35"/>
    </row>
    <row r="462" spans="1:35" ht="210">
      <c r="A462" s="8"/>
      <c r="B462" s="4" t="s">
        <v>1885</v>
      </c>
      <c r="C462" s="4" t="s">
        <v>1886</v>
      </c>
      <c r="D462" s="4" t="s">
        <v>707</v>
      </c>
      <c r="E462" s="4" t="s">
        <v>862</v>
      </c>
      <c r="F462" s="43" t="s">
        <v>1543</v>
      </c>
      <c r="G462" s="8"/>
      <c r="H462" s="8"/>
      <c r="I462" s="8"/>
      <c r="J462" s="8"/>
      <c r="K462" s="8"/>
      <c r="L462" s="8"/>
      <c r="M462" s="8"/>
      <c r="N462" s="8"/>
      <c r="O462" s="8"/>
      <c r="P462" s="88"/>
      <c r="Q462" s="88"/>
      <c r="R462" s="49"/>
      <c r="S462" s="49"/>
      <c r="T462" s="49"/>
      <c r="U462" s="4" t="s">
        <v>96</v>
      </c>
      <c r="V462" s="8"/>
      <c r="W462" s="8"/>
      <c r="X462" s="8"/>
      <c r="Y462" s="8"/>
      <c r="Z462" s="8"/>
      <c r="AA462" s="31"/>
      <c r="AB462" s="32"/>
      <c r="AC462" s="8"/>
      <c r="AD462" s="8"/>
      <c r="AE462" s="8"/>
      <c r="AF462" s="8"/>
      <c r="AG462" s="33"/>
      <c r="AH462" s="34"/>
      <c r="AI462" s="35"/>
    </row>
    <row r="463" spans="1:35" ht="224">
      <c r="A463" s="8"/>
      <c r="B463" s="4" t="s">
        <v>1888</v>
      </c>
      <c r="C463" s="4" t="s">
        <v>1889</v>
      </c>
      <c r="D463" s="4" t="s">
        <v>707</v>
      </c>
      <c r="E463" s="4" t="s">
        <v>862</v>
      </c>
      <c r="F463" s="43" t="s">
        <v>1545</v>
      </c>
      <c r="G463" s="8"/>
      <c r="H463" s="8"/>
      <c r="I463" s="8"/>
      <c r="J463" s="8"/>
      <c r="K463" s="8"/>
      <c r="L463" s="8"/>
      <c r="M463" s="8"/>
      <c r="N463" s="8"/>
      <c r="O463" s="8"/>
      <c r="P463" s="88"/>
      <c r="Q463" s="88"/>
      <c r="R463" s="49"/>
      <c r="S463" s="49"/>
      <c r="T463" s="49"/>
      <c r="U463" s="4" t="s">
        <v>96</v>
      </c>
      <c r="V463" s="8"/>
      <c r="W463" s="8"/>
      <c r="X463" s="8"/>
      <c r="Y463" s="8"/>
      <c r="Z463" s="8"/>
      <c r="AA463" s="31"/>
      <c r="AB463" s="32"/>
      <c r="AC463" s="8"/>
      <c r="AD463" s="8"/>
      <c r="AE463" s="8"/>
      <c r="AF463" s="8"/>
      <c r="AG463" s="33"/>
      <c r="AH463" s="34"/>
      <c r="AI463" s="35"/>
    </row>
    <row r="464" spans="1:35" ht="56">
      <c r="A464" s="8"/>
      <c r="B464" s="4" t="s">
        <v>1890</v>
      </c>
      <c r="C464" s="8"/>
      <c r="D464" s="4" t="s">
        <v>707</v>
      </c>
      <c r="E464" s="4" t="s">
        <v>862</v>
      </c>
      <c r="F464" s="43" t="s">
        <v>1550</v>
      </c>
      <c r="G464" s="8"/>
      <c r="H464" s="8"/>
      <c r="I464" s="8"/>
      <c r="J464" s="8"/>
      <c r="K464" s="8"/>
      <c r="L464" s="8"/>
      <c r="M464" s="8"/>
      <c r="N464" s="8"/>
      <c r="O464" s="8"/>
      <c r="P464" s="88"/>
      <c r="Q464" s="88"/>
      <c r="R464" s="49"/>
      <c r="S464" s="49"/>
      <c r="T464" s="49"/>
      <c r="U464" s="4" t="s">
        <v>90</v>
      </c>
      <c r="V464" s="8"/>
      <c r="W464" s="8"/>
      <c r="X464" s="8"/>
      <c r="Y464" s="8"/>
      <c r="Z464" s="8"/>
      <c r="AA464" s="31"/>
      <c r="AB464" s="32"/>
      <c r="AC464" s="8"/>
      <c r="AD464" s="8"/>
      <c r="AE464" s="8"/>
      <c r="AF464" s="8"/>
      <c r="AG464" s="33"/>
      <c r="AH464" s="34"/>
      <c r="AI464" s="35"/>
    </row>
    <row r="465" spans="1:35" ht="42">
      <c r="A465" s="8"/>
      <c r="B465" s="4" t="s">
        <v>1893</v>
      </c>
      <c r="C465" s="8"/>
      <c r="D465" s="4" t="s">
        <v>707</v>
      </c>
      <c r="E465" s="4" t="s">
        <v>862</v>
      </c>
      <c r="F465" s="43" t="s">
        <v>1554</v>
      </c>
      <c r="G465" s="8"/>
      <c r="H465" s="8"/>
      <c r="I465" s="8"/>
      <c r="J465" s="8"/>
      <c r="K465" s="8"/>
      <c r="L465" s="8"/>
      <c r="M465" s="8"/>
      <c r="N465" s="8"/>
      <c r="O465" s="8"/>
      <c r="P465" s="88"/>
      <c r="Q465" s="88"/>
      <c r="R465" s="49"/>
      <c r="S465" s="49"/>
      <c r="T465" s="49"/>
      <c r="U465" s="4" t="s">
        <v>96</v>
      </c>
      <c r="V465" s="8"/>
      <c r="W465" s="8"/>
      <c r="X465" s="8"/>
      <c r="Y465" s="8"/>
      <c r="Z465" s="8"/>
      <c r="AA465" s="31"/>
      <c r="AB465" s="32"/>
      <c r="AC465" s="8"/>
      <c r="AD465" s="8"/>
      <c r="AE465" s="8"/>
      <c r="AF465" s="8"/>
      <c r="AG465" s="33"/>
      <c r="AH465" s="34"/>
      <c r="AI465" s="35"/>
    </row>
    <row r="466" spans="1:35" ht="13">
      <c r="A466" s="11"/>
      <c r="B466" s="11"/>
      <c r="C466" s="11"/>
      <c r="D466" s="208"/>
      <c r="E466" s="208"/>
      <c r="F466" s="262"/>
      <c r="G466" s="11"/>
      <c r="H466" s="11"/>
      <c r="I466" s="11"/>
      <c r="J466" s="11"/>
      <c r="K466" s="11"/>
      <c r="L466" s="11"/>
      <c r="M466" s="11"/>
      <c r="N466" s="11"/>
      <c r="O466" s="11"/>
      <c r="P466" s="263"/>
      <c r="Q466" s="263"/>
      <c r="R466" s="264"/>
      <c r="S466" s="264"/>
      <c r="T466" s="264"/>
      <c r="U466" s="11"/>
      <c r="V466" s="11"/>
      <c r="W466" s="11"/>
      <c r="X466" s="11"/>
      <c r="Y466" s="11"/>
      <c r="Z466" s="11"/>
      <c r="AA466" s="11"/>
      <c r="AB466" s="265"/>
      <c r="AC466" s="11"/>
      <c r="AD466" s="11"/>
      <c r="AE466" s="11"/>
      <c r="AF466" s="11"/>
      <c r="AG466" s="266"/>
      <c r="AH466" s="267"/>
      <c r="AI466" s="267"/>
    </row>
    <row r="467" spans="1:35" ht="13">
      <c r="A467" s="11"/>
      <c r="B467" s="11"/>
      <c r="C467" s="11"/>
      <c r="D467" s="208"/>
      <c r="E467" s="208"/>
      <c r="F467" s="262"/>
      <c r="G467" s="11"/>
      <c r="H467" s="11"/>
      <c r="I467" s="11"/>
      <c r="J467" s="11"/>
      <c r="K467" s="11"/>
      <c r="L467" s="11"/>
      <c r="M467" s="11"/>
      <c r="N467" s="11"/>
      <c r="O467" s="11"/>
      <c r="P467" s="263"/>
      <c r="Q467" s="263"/>
      <c r="R467" s="264"/>
      <c r="S467" s="264"/>
      <c r="T467" s="264"/>
      <c r="U467" s="11"/>
      <c r="V467" s="11"/>
      <c r="W467" s="11"/>
      <c r="X467" s="11"/>
      <c r="Y467" s="11"/>
      <c r="Z467" s="11"/>
      <c r="AA467" s="11"/>
      <c r="AB467" s="265"/>
      <c r="AC467" s="11"/>
      <c r="AD467" s="11"/>
      <c r="AE467" s="11"/>
      <c r="AF467" s="11"/>
      <c r="AG467" s="266"/>
      <c r="AH467" s="267"/>
      <c r="AI467" s="267"/>
    </row>
    <row r="468" spans="1:35" ht="13">
      <c r="A468" s="11"/>
      <c r="B468" s="11"/>
      <c r="C468" s="11"/>
      <c r="D468" s="208"/>
      <c r="E468" s="208"/>
      <c r="F468" s="262"/>
      <c r="G468" s="11"/>
      <c r="H468" s="11"/>
      <c r="I468" s="11"/>
      <c r="J468" s="11"/>
      <c r="K468" s="11"/>
      <c r="L468" s="11"/>
      <c r="M468" s="11"/>
      <c r="N468" s="11"/>
      <c r="O468" s="11"/>
      <c r="P468" s="263"/>
      <c r="Q468" s="263"/>
      <c r="R468" s="264"/>
      <c r="S468" s="264"/>
      <c r="T468" s="264"/>
      <c r="U468" s="11"/>
      <c r="V468" s="11"/>
      <c r="W468" s="11"/>
      <c r="X468" s="11"/>
      <c r="Y468" s="11"/>
      <c r="Z468" s="11"/>
      <c r="AA468" s="11"/>
      <c r="AB468" s="265"/>
      <c r="AC468" s="11"/>
      <c r="AD468" s="11"/>
      <c r="AE468" s="11"/>
      <c r="AF468" s="11"/>
      <c r="AG468" s="266"/>
      <c r="AH468" s="267"/>
      <c r="AI468" s="267"/>
    </row>
    <row r="469" spans="1:35" ht="14">
      <c r="A469" s="268"/>
      <c r="B469" s="269" t="s">
        <v>1896</v>
      </c>
      <c r="C469" s="268"/>
      <c r="D469" s="11"/>
      <c r="E469" s="208" t="s">
        <v>858</v>
      </c>
      <c r="F469" s="270"/>
      <c r="G469" s="11"/>
      <c r="H469" s="11"/>
      <c r="I469" s="11"/>
      <c r="J469" s="11"/>
      <c r="K469" s="11"/>
      <c r="L469" s="11"/>
      <c r="M469" s="11"/>
      <c r="N469" s="11"/>
      <c r="O469" s="11"/>
      <c r="P469" s="263"/>
      <c r="Q469" s="263"/>
      <c r="R469" s="264"/>
      <c r="S469" s="264"/>
      <c r="T469" s="264"/>
      <c r="U469" s="11"/>
      <c r="V469" s="11"/>
      <c r="W469" s="11"/>
      <c r="X469" s="11"/>
      <c r="Y469" s="11"/>
      <c r="Z469" s="11"/>
      <c r="AA469" s="11"/>
      <c r="AB469" s="265"/>
      <c r="AC469" s="11"/>
      <c r="AD469" s="11"/>
      <c r="AE469" s="11"/>
      <c r="AF469" s="11"/>
      <c r="AG469" s="266"/>
      <c r="AH469" s="267"/>
      <c r="AI469" s="267"/>
    </row>
    <row r="470" spans="1:35" ht="154">
      <c r="A470" s="208">
        <v>1</v>
      </c>
      <c r="B470" s="271" t="s">
        <v>1897</v>
      </c>
      <c r="C470" s="208" t="s">
        <v>1898</v>
      </c>
      <c r="D470" s="11"/>
      <c r="E470" s="208" t="s">
        <v>858</v>
      </c>
      <c r="F470" s="262" t="s">
        <v>290</v>
      </c>
      <c r="G470" s="11"/>
      <c r="H470" s="11"/>
      <c r="I470" s="11"/>
      <c r="J470" s="11"/>
      <c r="K470" s="11"/>
      <c r="L470" s="11"/>
      <c r="M470" s="11"/>
      <c r="N470" s="11"/>
      <c r="O470" s="11"/>
      <c r="P470" s="272">
        <v>43466</v>
      </c>
      <c r="Q470" s="272">
        <v>45657</v>
      </c>
      <c r="R470" s="125" t="s">
        <v>90</v>
      </c>
      <c r="S470" s="125">
        <v>51551.79</v>
      </c>
      <c r="T470" s="125">
        <v>149933.10999999999</v>
      </c>
      <c r="U470" s="208">
        <v>155931</v>
      </c>
      <c r="V470" s="208">
        <v>163585.93</v>
      </c>
      <c r="W470" s="208" t="s">
        <v>1899</v>
      </c>
      <c r="X470" s="208" t="s">
        <v>1900</v>
      </c>
      <c r="Y470" s="11"/>
      <c r="Z470" s="11"/>
      <c r="AA470" s="11"/>
      <c r="AB470" s="265"/>
      <c r="AC470" s="11"/>
      <c r="AD470" s="11"/>
      <c r="AE470" s="11"/>
      <c r="AF470" s="11"/>
      <c r="AG470" s="266"/>
      <c r="AH470" s="267"/>
      <c r="AI470" s="267"/>
    </row>
    <row r="471" spans="1:35" ht="126">
      <c r="A471" s="208">
        <v>2</v>
      </c>
      <c r="B471" s="271" t="s">
        <v>1901</v>
      </c>
      <c r="C471" s="208" t="s">
        <v>1902</v>
      </c>
      <c r="D471" s="11"/>
      <c r="E471" s="208" t="s">
        <v>858</v>
      </c>
      <c r="F471" s="262" t="s">
        <v>309</v>
      </c>
      <c r="G471" s="11"/>
      <c r="H471" s="11"/>
      <c r="I471" s="11"/>
      <c r="J471" s="11"/>
      <c r="K471" s="11"/>
      <c r="L471" s="11"/>
      <c r="M471" s="11"/>
      <c r="N471" s="11"/>
      <c r="O471" s="11"/>
      <c r="P471" s="272">
        <v>43466</v>
      </c>
      <c r="Q471" s="263"/>
      <c r="R471" s="125" t="s">
        <v>90</v>
      </c>
      <c r="S471" s="125" t="s">
        <v>1903</v>
      </c>
      <c r="T471" s="125" t="s">
        <v>1904</v>
      </c>
      <c r="U471" s="208" t="s">
        <v>1905</v>
      </c>
      <c r="V471" s="208" t="s">
        <v>1906</v>
      </c>
      <c r="W471" s="208" t="s">
        <v>1907</v>
      </c>
      <c r="X471" s="208" t="s">
        <v>1908</v>
      </c>
      <c r="Y471" s="11"/>
      <c r="Z471" s="11"/>
      <c r="AA471" s="11"/>
      <c r="AB471" s="265"/>
      <c r="AC471" s="11"/>
      <c r="AD471" s="11"/>
      <c r="AE471" s="11"/>
      <c r="AF471" s="11"/>
      <c r="AG471" s="266"/>
      <c r="AH471" s="267"/>
      <c r="AI471" s="267"/>
    </row>
    <row r="472" spans="1:35" ht="182">
      <c r="A472" s="208">
        <v>3</v>
      </c>
      <c r="B472" s="208" t="s">
        <v>1909</v>
      </c>
      <c r="C472" s="208" t="s">
        <v>1910</v>
      </c>
      <c r="D472" s="11"/>
      <c r="E472" s="208" t="s">
        <v>858</v>
      </c>
      <c r="F472" s="262" t="s">
        <v>317</v>
      </c>
      <c r="G472" s="11"/>
      <c r="H472" s="11"/>
      <c r="I472" s="11"/>
      <c r="J472" s="11"/>
      <c r="K472" s="11"/>
      <c r="L472" s="11"/>
      <c r="M472" s="11"/>
      <c r="N472" s="11"/>
      <c r="O472" s="11"/>
      <c r="P472" s="272">
        <v>43466</v>
      </c>
      <c r="Q472" s="263"/>
      <c r="R472" s="125" t="s">
        <v>90</v>
      </c>
      <c r="S472" s="125">
        <v>2900</v>
      </c>
      <c r="T472" s="125">
        <v>11500</v>
      </c>
      <c r="U472" s="208">
        <v>14700</v>
      </c>
      <c r="V472" s="208">
        <v>18200</v>
      </c>
      <c r="W472" s="208">
        <v>10100</v>
      </c>
      <c r="X472" s="208">
        <v>9200</v>
      </c>
      <c r="Y472" s="11"/>
      <c r="Z472" s="11"/>
      <c r="AA472" s="11"/>
      <c r="AB472" s="265"/>
      <c r="AC472" s="11"/>
      <c r="AD472" s="11"/>
      <c r="AE472" s="11"/>
      <c r="AF472" s="11"/>
      <c r="AG472" s="266"/>
      <c r="AH472" s="267"/>
      <c r="AI472" s="267"/>
    </row>
    <row r="473" spans="1:35" ht="210">
      <c r="A473" s="208">
        <v>4</v>
      </c>
      <c r="B473" s="208" t="s">
        <v>1911</v>
      </c>
      <c r="C473" s="208" t="s">
        <v>1912</v>
      </c>
      <c r="D473" s="11"/>
      <c r="E473" s="208" t="s">
        <v>858</v>
      </c>
      <c r="F473" s="262" t="s">
        <v>322</v>
      </c>
      <c r="G473" s="11"/>
      <c r="H473" s="11"/>
      <c r="I473" s="11"/>
      <c r="J473" s="11"/>
      <c r="K473" s="11"/>
      <c r="L473" s="11"/>
      <c r="M473" s="11"/>
      <c r="N473" s="11"/>
      <c r="O473" s="11"/>
      <c r="P473" s="272">
        <v>43466</v>
      </c>
      <c r="Q473" s="263"/>
      <c r="R473" s="125" t="s">
        <v>90</v>
      </c>
      <c r="S473" s="125" t="s">
        <v>1913</v>
      </c>
      <c r="T473" s="125" t="s">
        <v>1914</v>
      </c>
      <c r="U473" s="208" t="s">
        <v>1916</v>
      </c>
      <c r="V473" s="208" t="s">
        <v>1917</v>
      </c>
      <c r="W473" s="208" t="s">
        <v>1918</v>
      </c>
      <c r="X473" s="208" t="s">
        <v>1920</v>
      </c>
      <c r="Y473" s="11"/>
      <c r="Z473" s="11"/>
      <c r="AA473" s="11"/>
      <c r="AB473" s="265"/>
      <c r="AC473" s="11"/>
      <c r="AD473" s="11"/>
      <c r="AE473" s="11"/>
      <c r="AF473" s="11"/>
      <c r="AG473" s="266"/>
      <c r="AH473" s="267"/>
      <c r="AI473" s="267"/>
    </row>
    <row r="474" spans="1:35" ht="126">
      <c r="A474" s="208">
        <v>5</v>
      </c>
      <c r="B474" s="208" t="s">
        <v>1921</v>
      </c>
      <c r="C474" s="208" t="s">
        <v>1922</v>
      </c>
      <c r="D474" s="11"/>
      <c r="E474" s="208" t="s">
        <v>858</v>
      </c>
      <c r="F474" s="262" t="s">
        <v>329</v>
      </c>
      <c r="G474" s="11"/>
      <c r="H474" s="11"/>
      <c r="I474" s="11"/>
      <c r="J474" s="11"/>
      <c r="K474" s="11"/>
      <c r="L474" s="11"/>
      <c r="M474" s="11"/>
      <c r="N474" s="11"/>
      <c r="O474" s="11"/>
      <c r="P474" s="272">
        <v>43466</v>
      </c>
      <c r="Q474" s="263"/>
      <c r="R474" s="125" t="s">
        <v>90</v>
      </c>
      <c r="S474" s="125">
        <v>0</v>
      </c>
      <c r="T474" s="125">
        <v>0</v>
      </c>
      <c r="U474" s="208">
        <v>0</v>
      </c>
      <c r="V474" s="208">
        <v>0</v>
      </c>
      <c r="W474" s="208">
        <v>0</v>
      </c>
      <c r="X474" s="208">
        <v>0</v>
      </c>
      <c r="Y474" s="11"/>
      <c r="Z474" s="11"/>
      <c r="AA474" s="11"/>
      <c r="AB474" s="265"/>
      <c r="AC474" s="11"/>
      <c r="AD474" s="11"/>
      <c r="AE474" s="11"/>
      <c r="AF474" s="11"/>
      <c r="AG474" s="266"/>
      <c r="AH474" s="267"/>
      <c r="AI474" s="267"/>
    </row>
    <row r="475" spans="1:35" ht="154">
      <c r="A475" s="208">
        <v>6</v>
      </c>
      <c r="B475" s="208" t="s">
        <v>1923</v>
      </c>
      <c r="C475" s="208" t="s">
        <v>1924</v>
      </c>
      <c r="D475" s="11"/>
      <c r="E475" s="208" t="s">
        <v>858</v>
      </c>
      <c r="F475" s="262" t="s">
        <v>335</v>
      </c>
      <c r="G475" s="11"/>
      <c r="H475" s="11"/>
      <c r="I475" s="11"/>
      <c r="J475" s="11"/>
      <c r="K475" s="11"/>
      <c r="L475" s="11"/>
      <c r="M475" s="11"/>
      <c r="N475" s="11"/>
      <c r="O475" s="11"/>
      <c r="P475" s="272">
        <v>43466</v>
      </c>
      <c r="Q475" s="263"/>
      <c r="R475" s="125" t="s">
        <v>90</v>
      </c>
      <c r="S475" s="125" t="s">
        <v>1925</v>
      </c>
      <c r="T475" s="125">
        <v>0</v>
      </c>
      <c r="U475" s="208">
        <v>0</v>
      </c>
      <c r="V475" s="208">
        <v>0</v>
      </c>
      <c r="W475" s="208">
        <v>0</v>
      </c>
      <c r="X475" s="208">
        <v>0</v>
      </c>
      <c r="Y475" s="11"/>
      <c r="Z475" s="11"/>
      <c r="AA475" s="11"/>
      <c r="AB475" s="265"/>
      <c r="AC475" s="11"/>
      <c r="AD475" s="11"/>
      <c r="AE475" s="11"/>
      <c r="AF475" s="11"/>
      <c r="AG475" s="266"/>
      <c r="AH475" s="267"/>
      <c r="AI475" s="267"/>
    </row>
    <row r="476" spans="1:35" ht="98">
      <c r="A476" s="208">
        <v>7</v>
      </c>
      <c r="B476" s="208" t="s">
        <v>1926</v>
      </c>
      <c r="C476" s="208" t="s">
        <v>1927</v>
      </c>
      <c r="D476" s="11"/>
      <c r="E476" s="208" t="s">
        <v>858</v>
      </c>
      <c r="F476" s="262" t="s">
        <v>341</v>
      </c>
      <c r="G476" s="11"/>
      <c r="H476" s="11"/>
      <c r="I476" s="11"/>
      <c r="J476" s="11"/>
      <c r="K476" s="11"/>
      <c r="L476" s="11"/>
      <c r="M476" s="11"/>
      <c r="N476" s="11"/>
      <c r="O476" s="11"/>
      <c r="P476" s="272">
        <v>43466</v>
      </c>
      <c r="Q476" s="263"/>
      <c r="R476" s="125" t="s">
        <v>96</v>
      </c>
      <c r="S476" s="125">
        <v>120</v>
      </c>
      <c r="T476" s="125">
        <v>120</v>
      </c>
      <c r="U476" s="208">
        <v>120</v>
      </c>
      <c r="V476" s="208">
        <v>120</v>
      </c>
      <c r="W476" s="208">
        <v>120</v>
      </c>
      <c r="X476" s="208">
        <v>120</v>
      </c>
      <c r="Y476" s="11"/>
      <c r="Z476" s="11"/>
      <c r="AA476" s="11"/>
      <c r="AB476" s="265"/>
      <c r="AC476" s="11"/>
      <c r="AD476" s="11"/>
      <c r="AE476" s="11"/>
      <c r="AF476" s="11"/>
      <c r="AG476" s="266"/>
      <c r="AH476" s="267"/>
      <c r="AI476" s="267"/>
    </row>
    <row r="477" spans="1:35" ht="70">
      <c r="A477" s="208">
        <v>8</v>
      </c>
      <c r="B477" s="208" t="s">
        <v>1928</v>
      </c>
      <c r="C477" s="208" t="s">
        <v>1929</v>
      </c>
      <c r="D477" s="11"/>
      <c r="E477" s="208" t="s">
        <v>858</v>
      </c>
      <c r="F477" s="262" t="s">
        <v>347</v>
      </c>
      <c r="G477" s="11"/>
      <c r="H477" s="11"/>
      <c r="I477" s="11"/>
      <c r="J477" s="11"/>
      <c r="K477" s="11"/>
      <c r="L477" s="11"/>
      <c r="M477" s="11"/>
      <c r="N477" s="11"/>
      <c r="O477" s="11"/>
      <c r="P477" s="272">
        <v>43466</v>
      </c>
      <c r="Q477" s="263"/>
      <c r="R477" s="125" t="s">
        <v>96</v>
      </c>
      <c r="S477" s="125">
        <v>30</v>
      </c>
      <c r="T477" s="125">
        <v>30</v>
      </c>
      <c r="U477" s="208">
        <v>30</v>
      </c>
      <c r="V477" s="208">
        <v>30</v>
      </c>
      <c r="W477" s="208">
        <v>30</v>
      </c>
      <c r="X477" s="208">
        <v>30</v>
      </c>
      <c r="Y477" s="11"/>
      <c r="Z477" s="11"/>
      <c r="AA477" s="11"/>
      <c r="AB477" s="265"/>
      <c r="AC477" s="11"/>
      <c r="AD477" s="11"/>
      <c r="AE477" s="11"/>
      <c r="AF477" s="11"/>
      <c r="AG477" s="266"/>
      <c r="AH477" s="267"/>
      <c r="AI477" s="267"/>
    </row>
    <row r="478" spans="1:35" ht="98">
      <c r="A478" s="208">
        <v>9</v>
      </c>
      <c r="B478" s="208" t="s">
        <v>1930</v>
      </c>
      <c r="C478" s="208" t="s">
        <v>1931</v>
      </c>
      <c r="D478" s="11"/>
      <c r="E478" s="208" t="s">
        <v>858</v>
      </c>
      <c r="F478" s="262" t="s">
        <v>352</v>
      </c>
      <c r="G478" s="11"/>
      <c r="H478" s="11"/>
      <c r="I478" s="11"/>
      <c r="J478" s="11"/>
      <c r="K478" s="11"/>
      <c r="L478" s="11"/>
      <c r="M478" s="11"/>
      <c r="N478" s="11"/>
      <c r="O478" s="11"/>
      <c r="P478" s="272">
        <v>43466</v>
      </c>
      <c r="Q478" s="263"/>
      <c r="R478" s="125" t="s">
        <v>90</v>
      </c>
      <c r="S478" s="125" t="s">
        <v>508</v>
      </c>
      <c r="T478" s="125" t="s">
        <v>508</v>
      </c>
      <c r="U478" s="208" t="s">
        <v>508</v>
      </c>
      <c r="V478" s="208" t="s">
        <v>508</v>
      </c>
      <c r="W478" s="208" t="s">
        <v>508</v>
      </c>
      <c r="X478" s="208" t="s">
        <v>508</v>
      </c>
      <c r="Y478" s="11"/>
      <c r="Z478" s="11"/>
      <c r="AA478" s="11"/>
      <c r="AB478" s="265"/>
      <c r="AC478" s="11"/>
      <c r="AD478" s="11"/>
      <c r="AE478" s="11"/>
      <c r="AF478" s="11"/>
      <c r="AG478" s="266"/>
      <c r="AH478" s="267"/>
      <c r="AI478" s="267"/>
    </row>
    <row r="479" spans="1:35" ht="70">
      <c r="A479" s="208">
        <v>10</v>
      </c>
      <c r="B479" s="208" t="s">
        <v>1932</v>
      </c>
      <c r="C479" s="208" t="s">
        <v>1933</v>
      </c>
      <c r="D479" s="11"/>
      <c r="E479" s="208" t="s">
        <v>858</v>
      </c>
      <c r="F479" s="262" t="s">
        <v>416</v>
      </c>
      <c r="G479" s="11"/>
      <c r="H479" s="11"/>
      <c r="I479" s="11"/>
      <c r="J479" s="11"/>
      <c r="K479" s="11"/>
      <c r="L479" s="11"/>
      <c r="M479" s="11"/>
      <c r="N479" s="11"/>
      <c r="O479" s="11"/>
      <c r="P479" s="272">
        <v>43466</v>
      </c>
      <c r="Q479" s="263"/>
      <c r="R479" s="125" t="s">
        <v>90</v>
      </c>
      <c r="S479" s="125" t="s">
        <v>508</v>
      </c>
      <c r="T479" s="125" t="s">
        <v>1934</v>
      </c>
      <c r="U479" s="208">
        <v>4352.75</v>
      </c>
      <c r="V479" s="208" t="s">
        <v>1935</v>
      </c>
      <c r="W479" s="208">
        <v>0</v>
      </c>
      <c r="X479" s="208">
        <v>0</v>
      </c>
      <c r="Y479" s="11"/>
      <c r="Z479" s="11"/>
      <c r="AA479" s="11"/>
      <c r="AB479" s="265"/>
      <c r="AC479" s="11"/>
      <c r="AD479" s="11"/>
      <c r="AE479" s="11"/>
      <c r="AF479" s="11"/>
      <c r="AG479" s="266"/>
      <c r="AH479" s="267"/>
      <c r="AI479" s="267"/>
    </row>
    <row r="480" spans="1:35" ht="224">
      <c r="A480" s="208">
        <v>11</v>
      </c>
      <c r="B480" s="208" t="s">
        <v>1936</v>
      </c>
      <c r="C480" s="208" t="s">
        <v>1937</v>
      </c>
      <c r="D480" s="11"/>
      <c r="E480" s="208" t="s">
        <v>858</v>
      </c>
      <c r="F480" s="262" t="s">
        <v>420</v>
      </c>
      <c r="G480" s="11"/>
      <c r="H480" s="11"/>
      <c r="I480" s="11"/>
      <c r="J480" s="11"/>
      <c r="K480" s="11"/>
      <c r="L480" s="11"/>
      <c r="M480" s="11"/>
      <c r="N480" s="11"/>
      <c r="O480" s="11"/>
      <c r="P480" s="272">
        <v>43466</v>
      </c>
      <c r="Q480" s="263"/>
      <c r="R480" s="125" t="s">
        <v>96</v>
      </c>
      <c r="S480" s="125">
        <v>2900</v>
      </c>
      <c r="T480" s="125" t="s">
        <v>1940</v>
      </c>
      <c r="U480" s="208" t="s">
        <v>1941</v>
      </c>
      <c r="V480" s="208" t="s">
        <v>1942</v>
      </c>
      <c r="W480" s="208" t="s">
        <v>1943</v>
      </c>
      <c r="X480" s="208" t="s">
        <v>1944</v>
      </c>
      <c r="Y480" s="11"/>
      <c r="Z480" s="11"/>
      <c r="AA480" s="11"/>
      <c r="AB480" s="265"/>
      <c r="AC480" s="11"/>
      <c r="AD480" s="11"/>
      <c r="AE480" s="11"/>
      <c r="AF480" s="11"/>
      <c r="AG480" s="266"/>
      <c r="AH480" s="267"/>
      <c r="AI480" s="267"/>
    </row>
    <row r="481" spans="1:35" ht="126">
      <c r="A481" s="208">
        <v>12</v>
      </c>
      <c r="B481" s="208" t="s">
        <v>1945</v>
      </c>
      <c r="C481" s="208" t="s">
        <v>508</v>
      </c>
      <c r="D481" s="11"/>
      <c r="E481" s="208" t="s">
        <v>858</v>
      </c>
      <c r="F481" s="262" t="s">
        <v>425</v>
      </c>
      <c r="G481" s="11"/>
      <c r="H481" s="11"/>
      <c r="I481" s="11"/>
      <c r="J481" s="11"/>
      <c r="K481" s="11"/>
      <c r="L481" s="11"/>
      <c r="M481" s="11"/>
      <c r="N481" s="11"/>
      <c r="O481" s="11"/>
      <c r="P481" s="272">
        <v>43466</v>
      </c>
      <c r="Q481" s="263"/>
      <c r="R481" s="125" t="s">
        <v>90</v>
      </c>
      <c r="S481" s="125" t="s">
        <v>1925</v>
      </c>
      <c r="T481" s="125">
        <v>0</v>
      </c>
      <c r="U481" s="208">
        <v>0</v>
      </c>
      <c r="V481" s="208">
        <v>0</v>
      </c>
      <c r="W481" s="208">
        <v>0</v>
      </c>
      <c r="X481" s="208">
        <v>0</v>
      </c>
      <c r="Y481" s="11"/>
      <c r="Z481" s="11"/>
      <c r="AA481" s="11"/>
      <c r="AB481" s="265"/>
      <c r="AC481" s="11"/>
      <c r="AD481" s="11"/>
      <c r="AE481" s="11"/>
      <c r="AF481" s="11"/>
      <c r="AG481" s="266"/>
      <c r="AH481" s="267"/>
      <c r="AI481" s="267"/>
    </row>
    <row r="482" spans="1:35" ht="70">
      <c r="A482" s="208">
        <v>13</v>
      </c>
      <c r="B482" s="208" t="s">
        <v>1946</v>
      </c>
      <c r="C482" s="208" t="s">
        <v>508</v>
      </c>
      <c r="D482" s="11"/>
      <c r="E482" s="208" t="s">
        <v>858</v>
      </c>
      <c r="F482" s="262" t="s">
        <v>428</v>
      </c>
      <c r="G482" s="11"/>
      <c r="H482" s="11"/>
      <c r="I482" s="11"/>
      <c r="J482" s="11"/>
      <c r="K482" s="11"/>
      <c r="L482" s="11"/>
      <c r="M482" s="11"/>
      <c r="N482" s="11"/>
      <c r="O482" s="11"/>
      <c r="P482" s="272">
        <v>43466</v>
      </c>
      <c r="Q482" s="263"/>
      <c r="R482" s="125" t="s">
        <v>90</v>
      </c>
      <c r="S482" s="125" t="s">
        <v>508</v>
      </c>
      <c r="T482" s="125" t="s">
        <v>508</v>
      </c>
      <c r="U482" s="208" t="s">
        <v>508</v>
      </c>
      <c r="V482" s="208" t="s">
        <v>508</v>
      </c>
      <c r="W482" s="208" t="s">
        <v>508</v>
      </c>
      <c r="X482" s="208" t="s">
        <v>508</v>
      </c>
      <c r="Y482" s="11"/>
      <c r="Z482" s="11"/>
      <c r="AA482" s="11"/>
      <c r="AB482" s="265"/>
      <c r="AC482" s="11"/>
      <c r="AD482" s="11"/>
      <c r="AE482" s="11"/>
      <c r="AF482" s="11"/>
      <c r="AG482" s="266"/>
      <c r="AH482" s="267"/>
      <c r="AI482" s="267"/>
    </row>
    <row r="483" spans="1:35" ht="13">
      <c r="A483" s="11"/>
      <c r="B483" s="11"/>
      <c r="C483" s="11"/>
      <c r="D483" s="11"/>
      <c r="E483" s="11"/>
      <c r="F483" s="270"/>
      <c r="G483" s="11"/>
      <c r="H483" s="11"/>
      <c r="I483" s="11"/>
      <c r="J483" s="11"/>
      <c r="K483" s="11"/>
      <c r="L483" s="11"/>
      <c r="M483" s="11"/>
      <c r="N483" s="11"/>
      <c r="O483" s="11"/>
      <c r="P483" s="263"/>
      <c r="Q483" s="263"/>
      <c r="R483" s="264"/>
      <c r="S483" s="264"/>
      <c r="T483" s="264"/>
      <c r="U483" s="11"/>
      <c r="V483" s="11"/>
      <c r="W483" s="11"/>
      <c r="X483" s="11"/>
      <c r="Y483" s="11"/>
      <c r="Z483" s="11"/>
      <c r="AA483" s="11"/>
      <c r="AB483" s="265"/>
      <c r="AC483" s="11"/>
      <c r="AD483" s="11"/>
      <c r="AE483" s="11"/>
      <c r="AF483" s="11"/>
      <c r="AG483" s="266"/>
      <c r="AH483" s="267"/>
      <c r="AI483" s="267"/>
    </row>
    <row r="484" spans="1:35" ht="13">
      <c r="A484" s="11"/>
      <c r="B484" s="11"/>
      <c r="C484" s="11"/>
      <c r="D484" s="11"/>
      <c r="E484" s="11"/>
      <c r="F484" s="270"/>
      <c r="G484" s="11"/>
      <c r="H484" s="11"/>
      <c r="I484" s="11"/>
      <c r="J484" s="11"/>
      <c r="K484" s="11"/>
      <c r="L484" s="11"/>
      <c r="M484" s="11"/>
      <c r="N484" s="11"/>
      <c r="O484" s="11"/>
      <c r="P484" s="263"/>
      <c r="Q484" s="263"/>
      <c r="R484" s="264"/>
      <c r="S484" s="264"/>
      <c r="T484" s="264"/>
      <c r="U484" s="11"/>
      <c r="V484" s="11"/>
      <c r="W484" s="11"/>
      <c r="X484" s="11"/>
      <c r="Y484" s="11"/>
      <c r="Z484" s="11"/>
      <c r="AA484" s="11"/>
      <c r="AB484" s="265"/>
      <c r="AC484" s="11"/>
      <c r="AD484" s="11"/>
      <c r="AE484" s="11"/>
      <c r="AF484" s="11"/>
      <c r="AG484" s="266"/>
      <c r="AH484" s="267"/>
      <c r="AI484" s="267"/>
    </row>
    <row r="485" spans="1:35" ht="13">
      <c r="A485" s="11"/>
      <c r="B485" s="11"/>
      <c r="C485" s="11"/>
      <c r="D485" s="11"/>
      <c r="E485" s="11"/>
      <c r="F485" s="270"/>
      <c r="G485" s="11"/>
      <c r="H485" s="11"/>
      <c r="I485" s="11"/>
      <c r="J485" s="11"/>
      <c r="K485" s="11"/>
      <c r="L485" s="11"/>
      <c r="M485" s="11"/>
      <c r="N485" s="11"/>
      <c r="O485" s="11"/>
      <c r="P485" s="263"/>
      <c r="Q485" s="263"/>
      <c r="R485" s="264"/>
      <c r="S485" s="264"/>
      <c r="T485" s="264"/>
      <c r="U485" s="11"/>
      <c r="V485" s="11"/>
      <c r="W485" s="11"/>
      <c r="X485" s="11"/>
      <c r="Y485" s="11"/>
      <c r="Z485" s="11"/>
      <c r="AA485" s="11"/>
      <c r="AB485" s="265"/>
      <c r="AC485" s="11"/>
      <c r="AD485" s="11"/>
      <c r="AE485" s="11"/>
      <c r="AF485" s="11"/>
      <c r="AG485" s="266"/>
      <c r="AH485" s="267"/>
      <c r="AI485" s="267"/>
    </row>
    <row r="486" spans="1:35" ht="13">
      <c r="A486" s="11"/>
      <c r="B486" s="11"/>
      <c r="C486" s="11"/>
      <c r="D486" s="11"/>
      <c r="E486" s="11"/>
      <c r="F486" s="270"/>
      <c r="G486" s="11"/>
      <c r="H486" s="11"/>
      <c r="I486" s="11"/>
      <c r="J486" s="11"/>
      <c r="K486" s="11"/>
      <c r="L486" s="11"/>
      <c r="M486" s="11"/>
      <c r="N486" s="11"/>
      <c r="O486" s="11"/>
      <c r="P486" s="263"/>
      <c r="Q486" s="263"/>
      <c r="R486" s="264"/>
      <c r="S486" s="264"/>
      <c r="T486" s="264"/>
      <c r="U486" s="11"/>
      <c r="V486" s="11"/>
      <c r="W486" s="11"/>
      <c r="X486" s="11"/>
      <c r="Y486" s="11"/>
      <c r="Z486" s="11"/>
      <c r="AA486" s="11"/>
      <c r="AB486" s="265"/>
      <c r="AC486" s="11"/>
      <c r="AD486" s="11"/>
      <c r="AE486" s="11"/>
      <c r="AF486" s="11"/>
      <c r="AG486" s="266"/>
      <c r="AH486" s="267"/>
      <c r="AI486" s="267"/>
    </row>
    <row r="487" spans="1:35" ht="13">
      <c r="A487" s="11"/>
      <c r="B487" s="11"/>
      <c r="C487" s="11"/>
      <c r="D487" s="11"/>
      <c r="E487" s="11"/>
      <c r="F487" s="270"/>
      <c r="G487" s="11"/>
      <c r="H487" s="11"/>
      <c r="I487" s="11"/>
      <c r="J487" s="11"/>
      <c r="K487" s="11"/>
      <c r="L487" s="11"/>
      <c r="M487" s="11"/>
      <c r="N487" s="11"/>
      <c r="O487" s="11"/>
      <c r="P487" s="263"/>
      <c r="Q487" s="263"/>
      <c r="R487" s="264"/>
      <c r="S487" s="264"/>
      <c r="T487" s="264"/>
      <c r="U487" s="11"/>
      <c r="V487" s="11"/>
      <c r="W487" s="11"/>
      <c r="X487" s="11"/>
      <c r="Y487" s="11"/>
      <c r="Z487" s="11"/>
      <c r="AA487" s="11"/>
      <c r="AB487" s="265"/>
      <c r="AC487" s="11"/>
      <c r="AD487" s="11"/>
      <c r="AE487" s="11"/>
      <c r="AF487" s="11"/>
      <c r="AG487" s="266"/>
      <c r="AH487" s="267"/>
      <c r="AI487" s="267"/>
    </row>
    <row r="488" spans="1:35" ht="13">
      <c r="A488" s="11"/>
      <c r="B488" s="11"/>
      <c r="C488" s="11"/>
      <c r="D488" s="11"/>
      <c r="E488" s="11"/>
      <c r="F488" s="270"/>
      <c r="G488" s="11"/>
      <c r="H488" s="11"/>
      <c r="I488" s="11"/>
      <c r="J488" s="11"/>
      <c r="K488" s="11"/>
      <c r="L488" s="11"/>
      <c r="M488" s="11"/>
      <c r="N488" s="11"/>
      <c r="O488" s="11"/>
      <c r="P488" s="263"/>
      <c r="Q488" s="263"/>
      <c r="R488" s="264"/>
      <c r="S488" s="264"/>
      <c r="T488" s="264"/>
      <c r="U488" s="11"/>
      <c r="V488" s="11"/>
      <c r="W488" s="11"/>
      <c r="X488" s="11"/>
      <c r="Y488" s="11"/>
      <c r="Z488" s="11"/>
      <c r="AA488" s="11"/>
      <c r="AB488" s="265"/>
      <c r="AC488" s="11"/>
      <c r="AD488" s="11"/>
      <c r="AE488" s="11"/>
      <c r="AF488" s="11"/>
      <c r="AG488" s="266"/>
      <c r="AH488" s="267"/>
      <c r="AI488" s="267"/>
    </row>
    <row r="489" spans="1:35" ht="13">
      <c r="A489" s="11"/>
      <c r="B489" s="11"/>
      <c r="C489" s="11"/>
      <c r="D489" s="11"/>
      <c r="E489" s="11"/>
      <c r="F489" s="270"/>
      <c r="G489" s="11"/>
      <c r="H489" s="11"/>
      <c r="I489" s="11"/>
      <c r="J489" s="11"/>
      <c r="K489" s="11"/>
      <c r="L489" s="11"/>
      <c r="M489" s="11"/>
      <c r="N489" s="11"/>
      <c r="O489" s="11"/>
      <c r="P489" s="263"/>
      <c r="Q489" s="263"/>
      <c r="R489" s="264"/>
      <c r="S489" s="264"/>
      <c r="T489" s="264"/>
      <c r="U489" s="11"/>
      <c r="V489" s="11"/>
      <c r="W489" s="11"/>
      <c r="X489" s="11"/>
      <c r="Y489" s="11"/>
      <c r="Z489" s="11"/>
      <c r="AA489" s="11"/>
      <c r="AB489" s="265"/>
      <c r="AC489" s="11"/>
      <c r="AD489" s="11"/>
      <c r="AE489" s="11"/>
      <c r="AF489" s="11"/>
      <c r="AG489" s="266"/>
      <c r="AH489" s="267"/>
      <c r="AI489" s="267"/>
    </row>
    <row r="490" spans="1:35" ht="13">
      <c r="A490" s="11"/>
      <c r="B490" s="11"/>
      <c r="C490" s="11"/>
      <c r="D490" s="11"/>
      <c r="E490" s="11"/>
      <c r="F490" s="270"/>
      <c r="G490" s="11"/>
      <c r="H490" s="11"/>
      <c r="I490" s="11"/>
      <c r="J490" s="11"/>
      <c r="K490" s="11"/>
      <c r="L490" s="11"/>
      <c r="M490" s="11"/>
      <c r="N490" s="11"/>
      <c r="O490" s="11"/>
      <c r="P490" s="263"/>
      <c r="Q490" s="263"/>
      <c r="R490" s="264"/>
      <c r="S490" s="264"/>
      <c r="T490" s="264"/>
      <c r="U490" s="11"/>
      <c r="V490" s="11"/>
      <c r="W490" s="11"/>
      <c r="X490" s="11"/>
      <c r="Y490" s="11"/>
      <c r="Z490" s="11"/>
      <c r="AA490" s="11"/>
      <c r="AB490" s="265"/>
      <c r="AC490" s="11"/>
      <c r="AD490" s="11"/>
      <c r="AE490" s="11"/>
      <c r="AF490" s="11"/>
      <c r="AG490" s="266"/>
      <c r="AH490" s="267"/>
      <c r="AI490" s="267"/>
    </row>
    <row r="491" spans="1:35" ht="13">
      <c r="A491" s="11"/>
      <c r="B491" s="11"/>
      <c r="C491" s="11"/>
      <c r="D491" s="11"/>
      <c r="E491" s="11"/>
      <c r="F491" s="270"/>
      <c r="G491" s="11"/>
      <c r="H491" s="11"/>
      <c r="I491" s="11"/>
      <c r="J491" s="11"/>
      <c r="K491" s="11"/>
      <c r="L491" s="11"/>
      <c r="M491" s="11"/>
      <c r="N491" s="11"/>
      <c r="O491" s="11"/>
      <c r="P491" s="263"/>
      <c r="Q491" s="263"/>
      <c r="R491" s="264"/>
      <c r="S491" s="264"/>
      <c r="T491" s="264"/>
      <c r="U491" s="11"/>
      <c r="V491" s="11"/>
      <c r="W491" s="11"/>
      <c r="X491" s="11"/>
      <c r="Y491" s="11"/>
      <c r="Z491" s="11"/>
      <c r="AA491" s="11"/>
      <c r="AB491" s="265"/>
      <c r="AC491" s="11"/>
      <c r="AD491" s="11"/>
      <c r="AE491" s="11"/>
      <c r="AF491" s="11"/>
      <c r="AG491" s="266"/>
      <c r="AH491" s="267"/>
      <c r="AI491" s="267"/>
    </row>
    <row r="492" spans="1:35" ht="13">
      <c r="A492" s="11"/>
      <c r="B492" s="11"/>
      <c r="C492" s="11"/>
      <c r="D492" s="11"/>
      <c r="E492" s="11"/>
      <c r="F492" s="270"/>
      <c r="G492" s="11"/>
      <c r="H492" s="11"/>
      <c r="I492" s="11"/>
      <c r="J492" s="11"/>
      <c r="K492" s="11"/>
      <c r="L492" s="11"/>
      <c r="M492" s="11"/>
      <c r="N492" s="11"/>
      <c r="O492" s="11"/>
      <c r="P492" s="263"/>
      <c r="Q492" s="263"/>
      <c r="R492" s="264"/>
      <c r="S492" s="264"/>
      <c r="T492" s="264"/>
      <c r="U492" s="11"/>
      <c r="V492" s="11"/>
      <c r="W492" s="11"/>
      <c r="X492" s="11"/>
      <c r="Y492" s="11"/>
      <c r="Z492" s="11"/>
      <c r="AA492" s="11"/>
      <c r="AB492" s="265"/>
      <c r="AC492" s="11"/>
      <c r="AD492" s="11"/>
      <c r="AE492" s="11"/>
      <c r="AF492" s="11"/>
      <c r="AG492" s="266"/>
      <c r="AH492" s="267"/>
      <c r="AI492" s="267"/>
    </row>
    <row r="493" spans="1:35" ht="13">
      <c r="A493" s="11"/>
      <c r="B493" s="11"/>
      <c r="C493" s="11"/>
      <c r="D493" s="11"/>
      <c r="E493" s="11"/>
      <c r="F493" s="270"/>
      <c r="G493" s="11"/>
      <c r="H493" s="11"/>
      <c r="I493" s="11"/>
      <c r="J493" s="11"/>
      <c r="K493" s="11"/>
      <c r="L493" s="11"/>
      <c r="M493" s="11"/>
      <c r="N493" s="11"/>
      <c r="O493" s="11"/>
      <c r="P493" s="263"/>
      <c r="Q493" s="263"/>
      <c r="R493" s="264"/>
      <c r="S493" s="264"/>
      <c r="T493" s="264"/>
      <c r="U493" s="11"/>
      <c r="V493" s="11"/>
      <c r="W493" s="11"/>
      <c r="X493" s="11"/>
      <c r="Y493" s="11"/>
      <c r="Z493" s="11"/>
      <c r="AA493" s="11"/>
      <c r="AB493" s="265"/>
      <c r="AC493" s="11"/>
      <c r="AD493" s="11"/>
      <c r="AE493" s="11"/>
      <c r="AF493" s="11"/>
      <c r="AG493" s="266"/>
      <c r="AH493" s="267"/>
      <c r="AI493" s="267"/>
    </row>
    <row r="494" spans="1:35" ht="13">
      <c r="A494" s="11"/>
      <c r="B494" s="11"/>
      <c r="C494" s="11"/>
      <c r="D494" s="11"/>
      <c r="E494" s="11"/>
      <c r="F494" s="270"/>
      <c r="G494" s="11"/>
      <c r="H494" s="11"/>
      <c r="I494" s="11"/>
      <c r="J494" s="11"/>
      <c r="K494" s="11"/>
      <c r="L494" s="11"/>
      <c r="M494" s="11"/>
      <c r="N494" s="11"/>
      <c r="O494" s="11"/>
      <c r="P494" s="263"/>
      <c r="Q494" s="263"/>
      <c r="R494" s="264"/>
      <c r="S494" s="264"/>
      <c r="T494" s="264"/>
      <c r="U494" s="11"/>
      <c r="V494" s="11"/>
      <c r="W494" s="11"/>
      <c r="X494" s="11"/>
      <c r="Y494" s="11"/>
      <c r="Z494" s="11"/>
      <c r="AA494" s="11"/>
      <c r="AB494" s="265"/>
      <c r="AC494" s="11"/>
      <c r="AD494" s="11"/>
      <c r="AE494" s="11"/>
      <c r="AF494" s="11"/>
      <c r="AG494" s="266"/>
      <c r="AH494" s="267"/>
      <c r="AI494" s="267"/>
    </row>
    <row r="495" spans="1:35" ht="14">
      <c r="A495" s="268"/>
      <c r="B495" s="269" t="s">
        <v>1949</v>
      </c>
      <c r="C495" s="268"/>
      <c r="D495" s="11"/>
      <c r="E495" s="11"/>
      <c r="F495" s="270"/>
      <c r="G495" s="11"/>
      <c r="H495" s="11"/>
      <c r="I495" s="11"/>
      <c r="J495" s="11"/>
      <c r="K495" s="11"/>
      <c r="L495" s="11"/>
      <c r="M495" s="11"/>
      <c r="N495" s="11"/>
      <c r="O495" s="11"/>
      <c r="P495" s="263"/>
      <c r="Q495" s="263"/>
      <c r="R495" s="264"/>
      <c r="S495" s="264"/>
      <c r="T495" s="264"/>
      <c r="U495" s="11"/>
      <c r="V495" s="11"/>
      <c r="W495" s="11"/>
      <c r="X495" s="11"/>
      <c r="Y495" s="11"/>
      <c r="Z495" s="11"/>
      <c r="AA495" s="11"/>
      <c r="AB495" s="265"/>
      <c r="AC495" s="11"/>
      <c r="AD495" s="11"/>
      <c r="AE495" s="11"/>
      <c r="AF495" s="11"/>
      <c r="AG495" s="266"/>
      <c r="AH495" s="267"/>
      <c r="AI495" s="267"/>
    </row>
    <row r="496" spans="1:35" ht="13">
      <c r="A496" s="11"/>
      <c r="B496" s="11"/>
      <c r="C496" s="11"/>
      <c r="D496" s="11"/>
      <c r="E496" s="11"/>
      <c r="F496" s="270"/>
      <c r="G496" s="11"/>
      <c r="H496" s="11"/>
      <c r="I496" s="11"/>
      <c r="J496" s="11"/>
      <c r="K496" s="11"/>
      <c r="L496" s="11"/>
      <c r="M496" s="11"/>
      <c r="N496" s="11"/>
      <c r="O496" s="11"/>
      <c r="P496" s="263"/>
      <c r="Q496" s="263"/>
      <c r="R496" s="264"/>
      <c r="S496" s="264"/>
      <c r="T496" s="264"/>
      <c r="U496" s="11"/>
      <c r="V496" s="11"/>
      <c r="W496" s="11"/>
      <c r="X496" s="11"/>
      <c r="Y496" s="11"/>
      <c r="Z496" s="11"/>
      <c r="AA496" s="11"/>
      <c r="AB496" s="265"/>
      <c r="AC496" s="11"/>
      <c r="AD496" s="11"/>
      <c r="AE496" s="11"/>
      <c r="AF496" s="11"/>
      <c r="AG496" s="266"/>
      <c r="AH496" s="267"/>
      <c r="AI496" s="267"/>
    </row>
    <row r="497" spans="1:35" ht="13">
      <c r="A497" s="11"/>
      <c r="B497" s="11"/>
      <c r="C497" s="11"/>
      <c r="D497" s="11"/>
      <c r="E497" s="11"/>
      <c r="F497" s="270"/>
      <c r="G497" s="11"/>
      <c r="H497" s="11"/>
      <c r="I497" s="11"/>
      <c r="J497" s="11"/>
      <c r="K497" s="11"/>
      <c r="L497" s="11"/>
      <c r="M497" s="11"/>
      <c r="N497" s="11"/>
      <c r="O497" s="11"/>
      <c r="P497" s="263"/>
      <c r="Q497" s="263"/>
      <c r="R497" s="264"/>
      <c r="S497" s="264"/>
      <c r="T497" s="264"/>
      <c r="U497" s="11"/>
      <c r="V497" s="11"/>
      <c r="W497" s="11"/>
      <c r="X497" s="11"/>
      <c r="Y497" s="11"/>
      <c r="Z497" s="11"/>
      <c r="AA497" s="11"/>
      <c r="AB497" s="265"/>
      <c r="AC497" s="11"/>
      <c r="AD497" s="11"/>
      <c r="AE497" s="11"/>
      <c r="AF497" s="11"/>
      <c r="AG497" s="266"/>
      <c r="AH497" s="267"/>
      <c r="AI497" s="267"/>
    </row>
    <row r="498" spans="1:35" ht="42">
      <c r="A498" s="246" t="s">
        <v>1728</v>
      </c>
      <c r="B498" s="192" t="s">
        <v>1950</v>
      </c>
      <c r="C498" s="244"/>
      <c r="D498" s="84"/>
      <c r="E498" s="84"/>
      <c r="F498" s="193"/>
      <c r="G498" s="84"/>
      <c r="H498" s="84"/>
      <c r="I498" s="84"/>
      <c r="J498" s="244"/>
      <c r="K498" s="84"/>
      <c r="L498" s="244"/>
      <c r="M498" s="244"/>
      <c r="N498" s="244"/>
      <c r="O498" s="84"/>
      <c r="P498" s="85"/>
      <c r="Q498" s="85"/>
      <c r="R498" s="245"/>
      <c r="S498" s="86"/>
      <c r="T498" s="86"/>
      <c r="U498" s="84"/>
      <c r="V498" s="84"/>
      <c r="W498" s="84"/>
      <c r="X498" s="84"/>
      <c r="Y498" s="84"/>
      <c r="Z498" s="84"/>
      <c r="AA498" s="194"/>
      <c r="AB498" s="195"/>
      <c r="AC498" s="84"/>
      <c r="AD498" s="84"/>
      <c r="AE498" s="84"/>
      <c r="AF498" s="84"/>
      <c r="AG498" s="196"/>
      <c r="AH498" s="247"/>
      <c r="AI498" s="84"/>
    </row>
    <row r="499" spans="1:35" ht="84" customHeight="1">
      <c r="A499" s="11"/>
      <c r="B499" s="208" t="s">
        <v>1951</v>
      </c>
      <c r="C499" s="208" t="s">
        <v>1952</v>
      </c>
      <c r="D499" s="208" t="s">
        <v>707</v>
      </c>
      <c r="E499" s="208" t="s">
        <v>864</v>
      </c>
      <c r="F499" s="262" t="s">
        <v>290</v>
      </c>
      <c r="G499" s="208">
        <v>1</v>
      </c>
      <c r="H499" s="208" t="s">
        <v>1953</v>
      </c>
      <c r="I499" s="3"/>
      <c r="J499" s="208" t="s">
        <v>71</v>
      </c>
      <c r="K499" s="11"/>
      <c r="L499" s="208">
        <v>1</v>
      </c>
      <c r="M499" s="208">
        <v>0</v>
      </c>
      <c r="N499" s="208">
        <v>0</v>
      </c>
      <c r="O499" s="11"/>
      <c r="P499" s="272">
        <v>43466</v>
      </c>
      <c r="Q499" s="272">
        <v>44166</v>
      </c>
      <c r="R499" s="264"/>
      <c r="S499" s="264"/>
      <c r="T499" s="264"/>
      <c r="U499" s="208" t="s">
        <v>90</v>
      </c>
      <c r="V499" s="11"/>
      <c r="W499" s="11"/>
      <c r="X499" s="11"/>
      <c r="Y499" s="11"/>
      <c r="Z499" s="11"/>
      <c r="AA499" s="11"/>
      <c r="AB499" s="265"/>
      <c r="AC499" s="11"/>
      <c r="AD499" s="11"/>
      <c r="AE499" s="11"/>
      <c r="AF499" s="11"/>
      <c r="AG499" s="266"/>
      <c r="AH499" s="267"/>
      <c r="AI499" s="267"/>
    </row>
    <row r="500" spans="1:35" ht="84">
      <c r="A500" s="11"/>
      <c r="B500" s="208" t="s">
        <v>1956</v>
      </c>
      <c r="C500" s="208" t="s">
        <v>1957</v>
      </c>
      <c r="D500" s="208" t="s">
        <v>707</v>
      </c>
      <c r="E500" s="208" t="s">
        <v>864</v>
      </c>
      <c r="F500" s="262" t="s">
        <v>309</v>
      </c>
      <c r="G500" s="208"/>
      <c r="H500" s="11"/>
      <c r="I500" s="11"/>
      <c r="J500" s="208" t="s">
        <v>71</v>
      </c>
      <c r="K500" s="11"/>
      <c r="L500" s="208">
        <v>1</v>
      </c>
      <c r="M500" s="208">
        <v>0</v>
      </c>
      <c r="N500" s="208">
        <v>0</v>
      </c>
      <c r="O500" s="11"/>
      <c r="P500" s="272">
        <v>43466</v>
      </c>
      <c r="Q500" s="272">
        <v>44197</v>
      </c>
      <c r="R500" s="264"/>
      <c r="S500" s="264"/>
      <c r="T500" s="264"/>
      <c r="U500" s="208" t="s">
        <v>90</v>
      </c>
      <c r="V500" s="11"/>
      <c r="W500" s="11"/>
      <c r="X500" s="11"/>
      <c r="Y500" s="11"/>
      <c r="Z500" s="11"/>
      <c r="AA500" s="11"/>
      <c r="AB500" s="265"/>
      <c r="AC500" s="11"/>
      <c r="AD500" s="11"/>
      <c r="AE500" s="11"/>
      <c r="AF500" s="11"/>
      <c r="AG500" s="266"/>
      <c r="AH500" s="267"/>
      <c r="AI500" s="267"/>
    </row>
    <row r="501" spans="1:35" ht="196">
      <c r="A501" s="11"/>
      <c r="B501" s="208" t="s">
        <v>1958</v>
      </c>
      <c r="C501" s="208" t="s">
        <v>1959</v>
      </c>
      <c r="D501" s="208" t="s">
        <v>707</v>
      </c>
      <c r="E501" s="208" t="s">
        <v>864</v>
      </c>
      <c r="F501" s="262" t="s">
        <v>317</v>
      </c>
      <c r="G501" s="11"/>
      <c r="H501" s="11"/>
      <c r="I501" s="11"/>
      <c r="J501" s="208" t="s">
        <v>71</v>
      </c>
      <c r="K501" s="11"/>
      <c r="L501" s="208">
        <v>1</v>
      </c>
      <c r="M501" s="208">
        <v>0</v>
      </c>
      <c r="N501" s="208">
        <v>0</v>
      </c>
      <c r="O501" s="11"/>
      <c r="P501" s="272">
        <v>43466</v>
      </c>
      <c r="Q501" s="272">
        <v>44180</v>
      </c>
      <c r="R501" s="264"/>
      <c r="S501" s="264"/>
      <c r="T501" s="264"/>
      <c r="U501" s="208" t="s">
        <v>90</v>
      </c>
      <c r="V501" s="11"/>
      <c r="W501" s="11"/>
      <c r="X501" s="11"/>
      <c r="Y501" s="11"/>
      <c r="Z501" s="11"/>
      <c r="AA501" s="11"/>
      <c r="AB501" s="265"/>
      <c r="AC501" s="11"/>
      <c r="AD501" s="11"/>
      <c r="AE501" s="11"/>
      <c r="AF501" s="11"/>
      <c r="AG501" s="266"/>
      <c r="AH501" s="267"/>
      <c r="AI501" s="267"/>
    </row>
    <row r="502" spans="1:35" ht="112">
      <c r="A502" s="11"/>
      <c r="B502" s="208" t="s">
        <v>1960</v>
      </c>
      <c r="C502" s="208" t="s">
        <v>1961</v>
      </c>
      <c r="D502" s="208" t="s">
        <v>707</v>
      </c>
      <c r="E502" s="208" t="s">
        <v>864</v>
      </c>
      <c r="F502" s="262" t="s">
        <v>322</v>
      </c>
      <c r="G502" s="11"/>
      <c r="H502" s="11"/>
      <c r="I502" s="11"/>
      <c r="J502" s="208" t="s">
        <v>71</v>
      </c>
      <c r="K502" s="11"/>
      <c r="L502" s="208">
        <v>1</v>
      </c>
      <c r="M502" s="208">
        <v>0</v>
      </c>
      <c r="N502" s="208">
        <v>0</v>
      </c>
      <c r="O502" s="11"/>
      <c r="P502" s="272">
        <v>43466</v>
      </c>
      <c r="Q502" s="272">
        <v>44180</v>
      </c>
      <c r="R502" s="264"/>
      <c r="S502" s="264"/>
      <c r="T502" s="264"/>
      <c r="U502" s="208" t="s">
        <v>90</v>
      </c>
      <c r="V502" s="11"/>
      <c r="W502" s="11"/>
      <c r="X502" s="11"/>
      <c r="Y502" s="11"/>
      <c r="Z502" s="11"/>
      <c r="AA502" s="11"/>
      <c r="AB502" s="265"/>
      <c r="AC502" s="11"/>
      <c r="AD502" s="11"/>
      <c r="AE502" s="11"/>
      <c r="AF502" s="11"/>
      <c r="AG502" s="266"/>
      <c r="AH502" s="267"/>
      <c r="AI502" s="267"/>
    </row>
    <row r="503" spans="1:35" ht="112">
      <c r="A503" s="11"/>
      <c r="B503" s="208" t="s">
        <v>1962</v>
      </c>
      <c r="C503" s="208" t="s">
        <v>1963</v>
      </c>
      <c r="D503" s="208" t="s">
        <v>707</v>
      </c>
      <c r="E503" s="208" t="s">
        <v>864</v>
      </c>
      <c r="F503" s="262" t="s">
        <v>329</v>
      </c>
      <c r="G503" s="208">
        <v>1</v>
      </c>
      <c r="H503" s="208" t="s">
        <v>1953</v>
      </c>
      <c r="I503" s="208" t="s">
        <v>1964</v>
      </c>
      <c r="J503" s="208" t="s">
        <v>71</v>
      </c>
      <c r="K503" s="11"/>
      <c r="L503" s="208">
        <v>1</v>
      </c>
      <c r="M503" s="208">
        <v>0</v>
      </c>
      <c r="N503" s="208">
        <v>0</v>
      </c>
      <c r="O503" s="11"/>
      <c r="P503" s="272">
        <v>43466</v>
      </c>
      <c r="Q503" s="272">
        <v>44180</v>
      </c>
      <c r="R503" s="264"/>
      <c r="S503" s="264"/>
      <c r="T503" s="264"/>
      <c r="U503" s="208" t="s">
        <v>90</v>
      </c>
      <c r="V503" s="208">
        <v>44.59</v>
      </c>
      <c r="W503" s="208">
        <v>44.59</v>
      </c>
      <c r="X503" s="11"/>
      <c r="Y503" s="11"/>
      <c r="Z503" s="11"/>
      <c r="AA503" s="11"/>
      <c r="AB503" s="273">
        <v>44.59</v>
      </c>
      <c r="AC503" s="208">
        <v>44.59</v>
      </c>
      <c r="AD503" s="11"/>
      <c r="AE503" s="11"/>
      <c r="AF503" s="11"/>
      <c r="AG503" s="266"/>
      <c r="AH503" s="274" t="s">
        <v>1965</v>
      </c>
      <c r="AI503" s="274" t="s">
        <v>1966</v>
      </c>
    </row>
    <row r="504" spans="1:35" ht="42">
      <c r="A504" s="11"/>
      <c r="B504" s="208" t="s">
        <v>1967</v>
      </c>
      <c r="C504" s="208" t="s">
        <v>1968</v>
      </c>
      <c r="D504" s="208" t="s">
        <v>707</v>
      </c>
      <c r="E504" s="208" t="s">
        <v>864</v>
      </c>
      <c r="F504" s="262" t="s">
        <v>335</v>
      </c>
      <c r="G504" s="11"/>
      <c r="H504" s="11"/>
      <c r="I504" s="11"/>
      <c r="J504" s="208" t="s">
        <v>71</v>
      </c>
      <c r="K504" s="11"/>
      <c r="L504" s="208">
        <v>1</v>
      </c>
      <c r="M504" s="208">
        <v>0</v>
      </c>
      <c r="N504" s="208">
        <v>0</v>
      </c>
      <c r="O504" s="11"/>
      <c r="P504" s="272">
        <v>43466</v>
      </c>
      <c r="Q504" s="272">
        <v>44180</v>
      </c>
      <c r="R504" s="264"/>
      <c r="S504" s="264"/>
      <c r="T504" s="264"/>
      <c r="U504" s="208" t="s">
        <v>90</v>
      </c>
      <c r="V504" s="11"/>
      <c r="W504" s="11"/>
      <c r="X504" s="11"/>
      <c r="Y504" s="11"/>
      <c r="Z504" s="11"/>
      <c r="AA504" s="11"/>
      <c r="AB504" s="265"/>
      <c r="AC504" s="11"/>
      <c r="AD504" s="11"/>
      <c r="AE504" s="11"/>
      <c r="AF504" s="11"/>
      <c r="AG504" s="266"/>
      <c r="AH504" s="267"/>
      <c r="AI504" s="267"/>
    </row>
    <row r="505" spans="1:35" ht="84">
      <c r="A505" s="11"/>
      <c r="B505" s="208" t="s">
        <v>1969</v>
      </c>
      <c r="C505" s="208" t="s">
        <v>1970</v>
      </c>
      <c r="D505" s="208" t="s">
        <v>707</v>
      </c>
      <c r="E505" s="208" t="s">
        <v>864</v>
      </c>
      <c r="F505" s="262" t="s">
        <v>341</v>
      </c>
      <c r="G505" s="11"/>
      <c r="H505" s="11"/>
      <c r="I505" s="11"/>
      <c r="J505" s="208" t="s">
        <v>71</v>
      </c>
      <c r="K505" s="11"/>
      <c r="L505" s="208">
        <v>1</v>
      </c>
      <c r="M505" s="208">
        <v>0</v>
      </c>
      <c r="N505" s="208">
        <v>0</v>
      </c>
      <c r="O505" s="11"/>
      <c r="P505" s="272">
        <v>43466</v>
      </c>
      <c r="Q505" s="272">
        <v>45641</v>
      </c>
      <c r="R505" s="264"/>
      <c r="S505" s="264"/>
      <c r="T505" s="264"/>
      <c r="U505" s="208" t="s">
        <v>96</v>
      </c>
      <c r="V505" s="11"/>
      <c r="W505" s="11"/>
      <c r="X505" s="11"/>
      <c r="Y505" s="11"/>
      <c r="Z505" s="11"/>
      <c r="AA505" s="11"/>
      <c r="AB505" s="265"/>
      <c r="AC505" s="11"/>
      <c r="AD505" s="11"/>
      <c r="AE505" s="11"/>
      <c r="AF505" s="11"/>
      <c r="AG505" s="266"/>
      <c r="AH505" s="267"/>
      <c r="AI505" s="267"/>
    </row>
    <row r="506" spans="1:35" ht="168">
      <c r="A506" s="11"/>
      <c r="B506" s="208" t="s">
        <v>1973</v>
      </c>
      <c r="C506" s="208" t="s">
        <v>1974</v>
      </c>
      <c r="D506" s="208" t="s">
        <v>707</v>
      </c>
      <c r="E506" s="208" t="s">
        <v>864</v>
      </c>
      <c r="F506" s="262" t="s">
        <v>347</v>
      </c>
      <c r="G506" s="208">
        <v>1</v>
      </c>
      <c r="H506" s="208" t="s">
        <v>1953</v>
      </c>
      <c r="I506" s="208" t="s">
        <v>1975</v>
      </c>
      <c r="J506" s="208" t="s">
        <v>71</v>
      </c>
      <c r="K506" s="11"/>
      <c r="L506" s="208">
        <v>1</v>
      </c>
      <c r="M506" s="208">
        <v>0</v>
      </c>
      <c r="N506" s="208">
        <v>0</v>
      </c>
      <c r="O506" s="11"/>
      <c r="P506" s="272">
        <v>43466</v>
      </c>
      <c r="Q506" s="272">
        <v>44180</v>
      </c>
      <c r="R506" s="264"/>
      <c r="S506" s="264"/>
      <c r="T506" s="264"/>
      <c r="U506" s="208" t="s">
        <v>96</v>
      </c>
      <c r="V506" s="208">
        <v>219.3</v>
      </c>
      <c r="W506" s="208">
        <v>1417.55</v>
      </c>
      <c r="X506" s="11"/>
      <c r="Y506" s="11"/>
      <c r="Z506" s="11"/>
      <c r="AA506" s="11"/>
      <c r="AB506" s="273">
        <v>219.3</v>
      </c>
      <c r="AC506" s="208">
        <v>1417.55</v>
      </c>
      <c r="AD506" s="11"/>
      <c r="AE506" s="11"/>
      <c r="AF506" s="11"/>
      <c r="AG506" s="266"/>
      <c r="AH506" s="274" t="s">
        <v>1976</v>
      </c>
      <c r="AI506" s="274" t="s">
        <v>1966</v>
      </c>
    </row>
    <row r="507" spans="1:35" ht="112">
      <c r="A507" s="11"/>
      <c r="B507" s="208" t="s">
        <v>1977</v>
      </c>
      <c r="C507" s="208" t="s">
        <v>1978</v>
      </c>
      <c r="D507" s="208" t="s">
        <v>707</v>
      </c>
      <c r="E507" s="208" t="s">
        <v>864</v>
      </c>
      <c r="F507" s="262" t="s">
        <v>352</v>
      </c>
      <c r="G507" s="208">
        <v>1</v>
      </c>
      <c r="H507" s="208" t="s">
        <v>1953</v>
      </c>
      <c r="I507" s="208" t="s">
        <v>1979</v>
      </c>
      <c r="J507" s="208" t="s">
        <v>71</v>
      </c>
      <c r="K507" s="11"/>
      <c r="L507" s="208">
        <v>1</v>
      </c>
      <c r="M507" s="208">
        <v>0</v>
      </c>
      <c r="N507" s="208">
        <v>0</v>
      </c>
      <c r="O507" s="11"/>
      <c r="P507" s="272">
        <v>43466</v>
      </c>
      <c r="Q507" s="272">
        <v>43814</v>
      </c>
      <c r="R507" s="264"/>
      <c r="S507" s="264"/>
      <c r="T507" s="264"/>
      <c r="U507" s="208" t="s">
        <v>96</v>
      </c>
      <c r="V507" s="208">
        <v>56</v>
      </c>
      <c r="W507" s="11"/>
      <c r="X507" s="11"/>
      <c r="Y507" s="11"/>
      <c r="Z507" s="11"/>
      <c r="AA507" s="11"/>
      <c r="AB507" s="273">
        <v>56</v>
      </c>
      <c r="AC507" s="11"/>
      <c r="AD507" s="11"/>
      <c r="AE507" s="11"/>
      <c r="AF507" s="11"/>
      <c r="AG507" s="266"/>
      <c r="AH507" s="274" t="s">
        <v>1980</v>
      </c>
      <c r="AI507" s="274" t="s">
        <v>1966</v>
      </c>
    </row>
    <row r="508" spans="1:35" ht="84">
      <c r="A508" s="11"/>
      <c r="B508" s="208" t="s">
        <v>1981</v>
      </c>
      <c r="C508" s="208" t="s">
        <v>1982</v>
      </c>
      <c r="D508" s="208" t="s">
        <v>707</v>
      </c>
      <c r="E508" s="208" t="s">
        <v>864</v>
      </c>
      <c r="F508" s="262" t="s">
        <v>416</v>
      </c>
      <c r="G508" s="11"/>
      <c r="H508" s="11"/>
      <c r="I508" s="11"/>
      <c r="J508" s="208" t="s">
        <v>71</v>
      </c>
      <c r="K508" s="11"/>
      <c r="L508" s="208">
        <v>1</v>
      </c>
      <c r="M508" s="208">
        <v>0</v>
      </c>
      <c r="N508" s="208">
        <v>0</v>
      </c>
      <c r="O508" s="11"/>
      <c r="P508" s="272">
        <v>43466</v>
      </c>
      <c r="Q508" s="272">
        <v>45641</v>
      </c>
      <c r="R508" s="264"/>
      <c r="S508" s="264"/>
      <c r="T508" s="264"/>
      <c r="U508" s="208" t="s">
        <v>90</v>
      </c>
      <c r="V508" s="11"/>
      <c r="W508" s="11"/>
      <c r="X508" s="11"/>
      <c r="Y508" s="11"/>
      <c r="Z508" s="11"/>
      <c r="AA508" s="11"/>
      <c r="AB508" s="265"/>
      <c r="AC508" s="11"/>
      <c r="AD508" s="11"/>
      <c r="AE508" s="11"/>
      <c r="AF508" s="11"/>
      <c r="AG508" s="266"/>
      <c r="AH508" s="267"/>
      <c r="AI508" s="267"/>
    </row>
    <row r="509" spans="1:35" ht="98">
      <c r="A509" s="11"/>
      <c r="B509" s="208" t="s">
        <v>1983</v>
      </c>
      <c r="C509" s="208" t="s">
        <v>1984</v>
      </c>
      <c r="D509" s="208" t="s">
        <v>707</v>
      </c>
      <c r="E509" s="208" t="s">
        <v>864</v>
      </c>
      <c r="F509" s="262" t="s">
        <v>420</v>
      </c>
      <c r="G509" s="11"/>
      <c r="H509" s="11"/>
      <c r="I509" s="11"/>
      <c r="J509" s="208" t="s">
        <v>71</v>
      </c>
      <c r="K509" s="11"/>
      <c r="L509" s="208">
        <v>1</v>
      </c>
      <c r="M509" s="208">
        <v>0</v>
      </c>
      <c r="N509" s="208">
        <v>0</v>
      </c>
      <c r="O509" s="11"/>
      <c r="P509" s="272">
        <v>43466</v>
      </c>
      <c r="Q509" s="272">
        <v>45641</v>
      </c>
      <c r="R509" s="264"/>
      <c r="S509" s="264"/>
      <c r="T509" s="264"/>
      <c r="U509" s="208" t="s">
        <v>96</v>
      </c>
      <c r="V509" s="11"/>
      <c r="W509" s="11"/>
      <c r="X509" s="11"/>
      <c r="Y509" s="11"/>
      <c r="Z509" s="11"/>
      <c r="AA509" s="11"/>
      <c r="AB509" s="265"/>
      <c r="AC509" s="11"/>
      <c r="AD509" s="11"/>
      <c r="AE509" s="11"/>
      <c r="AF509" s="11"/>
      <c r="AG509" s="266"/>
      <c r="AH509" s="267"/>
      <c r="AI509" s="267"/>
    </row>
    <row r="510" spans="1:35" ht="126">
      <c r="A510" s="11"/>
      <c r="B510" s="208" t="s">
        <v>1985</v>
      </c>
      <c r="C510" s="208" t="s">
        <v>1986</v>
      </c>
      <c r="D510" s="208" t="s">
        <v>707</v>
      </c>
      <c r="E510" s="208" t="s">
        <v>864</v>
      </c>
      <c r="F510" s="262" t="s">
        <v>425</v>
      </c>
      <c r="G510" s="11"/>
      <c r="H510" s="11"/>
      <c r="I510" s="11"/>
      <c r="J510" s="208" t="s">
        <v>71</v>
      </c>
      <c r="K510" s="11"/>
      <c r="L510" s="208">
        <v>1</v>
      </c>
      <c r="M510" s="208">
        <v>0</v>
      </c>
      <c r="N510" s="208">
        <v>0</v>
      </c>
      <c r="O510" s="11"/>
      <c r="P510" s="272">
        <v>43466</v>
      </c>
      <c r="Q510" s="272">
        <v>45641</v>
      </c>
      <c r="R510" s="264"/>
      <c r="S510" s="264"/>
      <c r="T510" s="264"/>
      <c r="U510" s="208" t="s">
        <v>96</v>
      </c>
      <c r="V510" s="11"/>
      <c r="W510" s="11"/>
      <c r="X510" s="11"/>
      <c r="Y510" s="11"/>
      <c r="Z510" s="11"/>
      <c r="AA510" s="11"/>
      <c r="AB510" s="265"/>
      <c r="AC510" s="11"/>
      <c r="AD510" s="11"/>
      <c r="AE510" s="11"/>
      <c r="AF510" s="11"/>
      <c r="AG510" s="266"/>
      <c r="AH510" s="267"/>
      <c r="AI510" s="267"/>
    </row>
    <row r="511" spans="1:35" ht="70">
      <c r="A511" s="11"/>
      <c r="B511" s="208" t="s">
        <v>1987</v>
      </c>
      <c r="C511" s="208" t="s">
        <v>1988</v>
      </c>
      <c r="D511" s="208" t="s">
        <v>707</v>
      </c>
      <c r="E511" s="208" t="s">
        <v>864</v>
      </c>
      <c r="F511" s="262" t="s">
        <v>428</v>
      </c>
      <c r="G511" s="11"/>
      <c r="H511" s="11"/>
      <c r="I511" s="11"/>
      <c r="J511" s="208" t="s">
        <v>71</v>
      </c>
      <c r="K511" s="11"/>
      <c r="L511" s="208">
        <v>1</v>
      </c>
      <c r="M511" s="208">
        <v>0</v>
      </c>
      <c r="N511" s="208">
        <v>0</v>
      </c>
      <c r="O511" s="11"/>
      <c r="P511" s="272">
        <v>43466</v>
      </c>
      <c r="Q511" s="272">
        <v>45565</v>
      </c>
      <c r="R511" s="264"/>
      <c r="S511" s="264"/>
      <c r="T511" s="264"/>
      <c r="U511" s="208" t="s">
        <v>90</v>
      </c>
      <c r="V511" s="11"/>
      <c r="W511" s="11"/>
      <c r="X511" s="11"/>
      <c r="Y511" s="11"/>
      <c r="Z511" s="11"/>
      <c r="AA511" s="11"/>
      <c r="AB511" s="265"/>
      <c r="AC511" s="11"/>
      <c r="AD511" s="11"/>
      <c r="AE511" s="11"/>
      <c r="AF511" s="11"/>
      <c r="AG511" s="266"/>
      <c r="AH511" s="267"/>
      <c r="AI511" s="267"/>
    </row>
    <row r="512" spans="1:35" ht="140">
      <c r="A512" s="11"/>
      <c r="B512" s="208" t="s">
        <v>1989</v>
      </c>
      <c r="C512" s="208" t="s">
        <v>1990</v>
      </c>
      <c r="D512" s="208" t="s">
        <v>707</v>
      </c>
      <c r="E512" s="208" t="s">
        <v>864</v>
      </c>
      <c r="F512" s="262" t="s">
        <v>431</v>
      </c>
      <c r="G512" s="208">
        <v>1</v>
      </c>
      <c r="H512" s="208" t="s">
        <v>1953</v>
      </c>
      <c r="I512" s="208" t="s">
        <v>1992</v>
      </c>
      <c r="J512" s="208" t="s">
        <v>71</v>
      </c>
      <c r="K512" s="11"/>
      <c r="L512" s="208">
        <v>1</v>
      </c>
      <c r="M512" s="208">
        <v>0</v>
      </c>
      <c r="N512" s="208">
        <v>0</v>
      </c>
      <c r="O512" s="11"/>
      <c r="P512" s="272">
        <v>43466</v>
      </c>
      <c r="Q512" s="272">
        <v>45641</v>
      </c>
      <c r="R512" s="264"/>
      <c r="S512" s="264"/>
      <c r="T512" s="264"/>
      <c r="U512" s="208" t="s">
        <v>90</v>
      </c>
      <c r="V512" s="11"/>
      <c r="W512" s="208">
        <v>85</v>
      </c>
      <c r="X512" s="208">
        <v>85</v>
      </c>
      <c r="Y512" s="208">
        <v>85</v>
      </c>
      <c r="Z512" s="208">
        <v>85</v>
      </c>
      <c r="AA512" s="208">
        <v>85</v>
      </c>
      <c r="AB512" s="273">
        <v>0</v>
      </c>
      <c r="AC512" s="208">
        <v>85</v>
      </c>
      <c r="AD512" s="208">
        <v>85</v>
      </c>
      <c r="AE512" s="208">
        <v>85</v>
      </c>
      <c r="AF512" s="208">
        <v>85</v>
      </c>
      <c r="AG512" s="266"/>
      <c r="AH512" s="274" t="s">
        <v>1994</v>
      </c>
      <c r="AI512" s="274" t="s">
        <v>1966</v>
      </c>
    </row>
    <row r="513" spans="1:35" ht="112">
      <c r="A513" s="11"/>
      <c r="B513" s="208" t="s">
        <v>1995</v>
      </c>
      <c r="C513" s="208" t="s">
        <v>1996</v>
      </c>
      <c r="D513" s="208" t="s">
        <v>707</v>
      </c>
      <c r="E513" s="208" t="s">
        <v>864</v>
      </c>
      <c r="F513" s="262" t="s">
        <v>434</v>
      </c>
      <c r="G513" s="208">
        <v>1</v>
      </c>
      <c r="H513" s="208" t="s">
        <v>1953</v>
      </c>
      <c r="I513" s="208" t="s">
        <v>1997</v>
      </c>
      <c r="J513" s="208" t="s">
        <v>71</v>
      </c>
      <c r="K513" s="11"/>
      <c r="L513" s="208">
        <v>1</v>
      </c>
      <c r="M513" s="208">
        <v>0</v>
      </c>
      <c r="N513" s="208">
        <v>0</v>
      </c>
      <c r="O513" s="11"/>
      <c r="P513" s="272">
        <v>43466</v>
      </c>
      <c r="Q513" s="272">
        <v>45657</v>
      </c>
      <c r="R513" s="264"/>
      <c r="S513" s="264"/>
      <c r="T513" s="264"/>
      <c r="U513" s="208" t="s">
        <v>96</v>
      </c>
      <c r="V513" s="208">
        <v>403.5</v>
      </c>
      <c r="W513" s="208">
        <v>318.5</v>
      </c>
      <c r="X513" s="208">
        <v>288.5</v>
      </c>
      <c r="Y513" s="208">
        <v>318.5</v>
      </c>
      <c r="Z513" s="208">
        <v>318.5</v>
      </c>
      <c r="AA513" s="208">
        <v>318.5</v>
      </c>
      <c r="AB513" s="273">
        <v>403.5</v>
      </c>
      <c r="AC513" s="208">
        <v>318.5</v>
      </c>
      <c r="AD513" s="208">
        <v>288.5</v>
      </c>
      <c r="AE513" s="208">
        <v>318.5</v>
      </c>
      <c r="AF513" s="208">
        <v>318.5</v>
      </c>
      <c r="AG513" s="266"/>
      <c r="AH513" s="274" t="s">
        <v>1998</v>
      </c>
      <c r="AI513" s="274" t="s">
        <v>1966</v>
      </c>
    </row>
    <row r="514" spans="1:35" ht="182">
      <c r="A514" s="11"/>
      <c r="B514" s="208" t="s">
        <v>1999</v>
      </c>
      <c r="C514" s="208" t="s">
        <v>2000</v>
      </c>
      <c r="D514" s="208" t="s">
        <v>707</v>
      </c>
      <c r="E514" s="208" t="s">
        <v>864</v>
      </c>
      <c r="F514" s="262" t="s">
        <v>437</v>
      </c>
      <c r="G514" s="208">
        <v>1</v>
      </c>
      <c r="H514" s="208" t="s">
        <v>1953</v>
      </c>
      <c r="I514" s="208" t="s">
        <v>2001</v>
      </c>
      <c r="J514" s="208" t="s">
        <v>71</v>
      </c>
      <c r="K514" s="11"/>
      <c r="L514" s="208">
        <v>1</v>
      </c>
      <c r="M514" s="208">
        <v>0</v>
      </c>
      <c r="N514" s="208">
        <v>0</v>
      </c>
      <c r="O514" s="11"/>
      <c r="P514" s="272">
        <v>43466</v>
      </c>
      <c r="Q514" s="272">
        <v>43830</v>
      </c>
      <c r="R514" s="264"/>
      <c r="S514" s="264"/>
      <c r="T514" s="264"/>
      <c r="U514" s="208" t="s">
        <v>96</v>
      </c>
      <c r="V514" s="208">
        <v>6</v>
      </c>
      <c r="W514" s="208"/>
      <c r="X514" s="11"/>
      <c r="Y514" s="11"/>
      <c r="Z514" s="11"/>
      <c r="AA514" s="11"/>
      <c r="AB514" s="273">
        <v>6</v>
      </c>
      <c r="AC514" s="11"/>
      <c r="AD514" s="11"/>
      <c r="AE514" s="11"/>
      <c r="AF514" s="11"/>
      <c r="AG514" s="266"/>
      <c r="AH514" s="274" t="s">
        <v>2002</v>
      </c>
      <c r="AI514" s="274" t="s">
        <v>1966</v>
      </c>
    </row>
    <row r="515" spans="1:35" ht="112">
      <c r="A515" s="11"/>
      <c r="B515" s="208" t="s">
        <v>2003</v>
      </c>
      <c r="C515" s="208" t="s">
        <v>2004</v>
      </c>
      <c r="D515" s="208" t="s">
        <v>707</v>
      </c>
      <c r="E515" s="208" t="s">
        <v>864</v>
      </c>
      <c r="F515" s="262" t="s">
        <v>442</v>
      </c>
      <c r="G515" s="208">
        <v>1</v>
      </c>
      <c r="H515" s="208" t="s">
        <v>1953</v>
      </c>
      <c r="I515" s="208" t="s">
        <v>2005</v>
      </c>
      <c r="J515" s="208" t="s">
        <v>71</v>
      </c>
      <c r="K515" s="11"/>
      <c r="L515" s="208">
        <v>1</v>
      </c>
      <c r="M515" s="208">
        <v>0</v>
      </c>
      <c r="N515" s="208">
        <v>0</v>
      </c>
      <c r="O515" s="11"/>
      <c r="P515" s="272">
        <v>43466</v>
      </c>
      <c r="Q515" s="272">
        <v>44561</v>
      </c>
      <c r="R515" s="264"/>
      <c r="S515" s="264"/>
      <c r="T515" s="264"/>
      <c r="U515" s="208" t="s">
        <v>96</v>
      </c>
      <c r="V515" s="11"/>
      <c r="W515" s="11"/>
      <c r="X515" s="208">
        <v>30</v>
      </c>
      <c r="Y515" s="11"/>
      <c r="Z515" s="11"/>
      <c r="AA515" s="11"/>
      <c r="AB515" s="273"/>
      <c r="AC515" s="11"/>
      <c r="AD515" s="208">
        <v>30</v>
      </c>
      <c r="AE515" s="11"/>
      <c r="AF515" s="11"/>
      <c r="AG515" s="266"/>
      <c r="AH515" s="274" t="s">
        <v>2006</v>
      </c>
      <c r="AI515" s="274" t="s">
        <v>1966</v>
      </c>
    </row>
    <row r="516" spans="1:35" ht="112">
      <c r="A516" s="11"/>
      <c r="B516" s="208" t="s">
        <v>2007</v>
      </c>
      <c r="C516" s="208" t="s">
        <v>2008</v>
      </c>
      <c r="D516" s="208" t="s">
        <v>707</v>
      </c>
      <c r="E516" s="208" t="s">
        <v>864</v>
      </c>
      <c r="F516" s="262" t="s">
        <v>445</v>
      </c>
      <c r="G516" s="208">
        <v>1</v>
      </c>
      <c r="H516" s="208" t="s">
        <v>1953</v>
      </c>
      <c r="I516" s="208" t="s">
        <v>2010</v>
      </c>
      <c r="J516" s="208" t="s">
        <v>71</v>
      </c>
      <c r="K516" s="11"/>
      <c r="L516" s="208">
        <v>1</v>
      </c>
      <c r="M516" s="208">
        <v>0</v>
      </c>
      <c r="N516" s="208">
        <v>0</v>
      </c>
      <c r="O516" s="11"/>
      <c r="P516" s="272">
        <v>43466</v>
      </c>
      <c r="Q516" s="272">
        <v>44180</v>
      </c>
      <c r="R516" s="264"/>
      <c r="S516" s="264"/>
      <c r="T516" s="264"/>
      <c r="U516" s="208" t="s">
        <v>90</v>
      </c>
      <c r="V516" s="208">
        <v>17.21</v>
      </c>
      <c r="W516" s="208">
        <v>25.09</v>
      </c>
      <c r="X516" s="11"/>
      <c r="Y516" s="11"/>
      <c r="Z516" s="11"/>
      <c r="AA516" s="11"/>
      <c r="AB516" s="273">
        <v>17.21</v>
      </c>
      <c r="AC516" s="208">
        <v>25.0885</v>
      </c>
      <c r="AD516" s="11"/>
      <c r="AE516" s="11"/>
      <c r="AF516" s="11"/>
      <c r="AG516" s="266"/>
      <c r="AH516" s="274" t="s">
        <v>2012</v>
      </c>
      <c r="AI516" s="274" t="s">
        <v>1966</v>
      </c>
    </row>
    <row r="517" spans="1:35" ht="112">
      <c r="A517" s="11"/>
      <c r="B517" s="208" t="s">
        <v>2013</v>
      </c>
      <c r="C517" s="208" t="s">
        <v>2014</v>
      </c>
      <c r="D517" s="208" t="s">
        <v>707</v>
      </c>
      <c r="E517" s="208" t="s">
        <v>864</v>
      </c>
      <c r="F517" s="262" t="s">
        <v>448</v>
      </c>
      <c r="G517" s="208">
        <v>1</v>
      </c>
      <c r="H517" s="208" t="s">
        <v>1953</v>
      </c>
      <c r="I517" s="208" t="s">
        <v>2015</v>
      </c>
      <c r="J517" s="208" t="s">
        <v>71</v>
      </c>
      <c r="K517" s="11"/>
      <c r="L517" s="208">
        <v>1</v>
      </c>
      <c r="M517" s="208">
        <v>0</v>
      </c>
      <c r="N517" s="208">
        <v>0</v>
      </c>
      <c r="O517" s="11"/>
      <c r="P517" s="272">
        <v>43466</v>
      </c>
      <c r="Q517" s="272">
        <v>44910</v>
      </c>
      <c r="R517" s="264"/>
      <c r="S517" s="264"/>
      <c r="T517" s="264"/>
      <c r="U517" s="208" t="s">
        <v>96</v>
      </c>
      <c r="V517" s="208">
        <v>32.840000000000003</v>
      </c>
      <c r="W517" s="208">
        <v>320.39999999999998</v>
      </c>
      <c r="X517" s="208">
        <v>323.33999999999997</v>
      </c>
      <c r="Y517" s="208">
        <v>296.39999999999998</v>
      </c>
      <c r="Z517" s="11"/>
      <c r="AA517" s="11"/>
      <c r="AB517" s="273">
        <v>32.843000000000004</v>
      </c>
      <c r="AC517" s="208">
        <v>320.3999</v>
      </c>
      <c r="AD517" s="208">
        <v>323.33600000000001</v>
      </c>
      <c r="AE517" s="208">
        <v>296.39999999999998</v>
      </c>
      <c r="AF517" s="11"/>
      <c r="AG517" s="266"/>
      <c r="AH517" s="274" t="s">
        <v>2016</v>
      </c>
      <c r="AI517" s="274" t="s">
        <v>1966</v>
      </c>
    </row>
    <row r="518" spans="1:35" ht="112">
      <c r="A518" s="11"/>
      <c r="B518" s="208" t="s">
        <v>2017</v>
      </c>
      <c r="C518" s="208" t="s">
        <v>2018</v>
      </c>
      <c r="D518" s="208" t="s">
        <v>707</v>
      </c>
      <c r="E518" s="208" t="s">
        <v>864</v>
      </c>
      <c r="F518" s="262" t="s">
        <v>453</v>
      </c>
      <c r="G518" s="208">
        <v>1</v>
      </c>
      <c r="H518" s="208" t="s">
        <v>1953</v>
      </c>
      <c r="I518" s="208" t="s">
        <v>2019</v>
      </c>
      <c r="J518" s="208" t="s">
        <v>71</v>
      </c>
      <c r="K518" s="11"/>
      <c r="L518" s="208">
        <v>1</v>
      </c>
      <c r="M518" s="208">
        <v>0</v>
      </c>
      <c r="N518" s="208">
        <v>0</v>
      </c>
      <c r="O518" s="11"/>
      <c r="P518" s="272">
        <v>43466</v>
      </c>
      <c r="Q518" s="272">
        <v>44545</v>
      </c>
      <c r="R518" s="264"/>
      <c r="S518" s="264"/>
      <c r="T518" s="264"/>
      <c r="U518" s="208" t="s">
        <v>96</v>
      </c>
      <c r="V518" s="11"/>
      <c r="W518" s="208">
        <v>1.08</v>
      </c>
      <c r="X518" s="208">
        <v>3.24</v>
      </c>
      <c r="Y518" s="11"/>
      <c r="Z518" s="11"/>
      <c r="AA518" s="11"/>
      <c r="AB518" s="273">
        <v>0</v>
      </c>
      <c r="AC518" s="208">
        <v>1.08</v>
      </c>
      <c r="AD518" s="208">
        <v>3.2370000000000001</v>
      </c>
      <c r="AE518" s="11"/>
      <c r="AF518" s="11"/>
      <c r="AG518" s="266"/>
      <c r="AH518" s="274" t="s">
        <v>2020</v>
      </c>
      <c r="AI518" s="274" t="s">
        <v>1966</v>
      </c>
    </row>
    <row r="519" spans="1:35" ht="112">
      <c r="A519" s="11"/>
      <c r="B519" s="208" t="s">
        <v>2021</v>
      </c>
      <c r="C519" s="208" t="s">
        <v>2022</v>
      </c>
      <c r="D519" s="208" t="s">
        <v>707</v>
      </c>
      <c r="E519" s="208" t="s">
        <v>864</v>
      </c>
      <c r="F519" s="262" t="s">
        <v>1527</v>
      </c>
      <c r="G519" s="208">
        <v>1</v>
      </c>
      <c r="H519" s="208" t="s">
        <v>1953</v>
      </c>
      <c r="I519" s="208" t="s">
        <v>2023</v>
      </c>
      <c r="J519" s="208" t="s">
        <v>71</v>
      </c>
      <c r="K519" s="11"/>
      <c r="L519" s="208">
        <v>1</v>
      </c>
      <c r="M519" s="208">
        <v>0</v>
      </c>
      <c r="N519" s="208">
        <v>0</v>
      </c>
      <c r="O519" s="11"/>
      <c r="P519" s="272">
        <v>43466</v>
      </c>
      <c r="Q519" s="272">
        <v>45641</v>
      </c>
      <c r="R519" s="264"/>
      <c r="S519" s="264"/>
      <c r="T519" s="264"/>
      <c r="U519" s="208" t="s">
        <v>96</v>
      </c>
      <c r="V519" s="11"/>
      <c r="W519" s="208">
        <v>1.8</v>
      </c>
      <c r="X519" s="208">
        <v>26.93</v>
      </c>
      <c r="Y519" s="208">
        <v>53.92</v>
      </c>
      <c r="Z519" s="208">
        <v>53.92</v>
      </c>
      <c r="AA519" s="208">
        <v>43.4</v>
      </c>
      <c r="AB519" s="273">
        <v>0</v>
      </c>
      <c r="AC519" s="208">
        <v>1.8</v>
      </c>
      <c r="AD519" s="208">
        <v>26.925000000000001</v>
      </c>
      <c r="AE519" s="208">
        <v>53.918999999999997</v>
      </c>
      <c r="AF519" s="208">
        <v>53.918999999999997</v>
      </c>
      <c r="AG519" s="266"/>
      <c r="AH519" s="274" t="s">
        <v>2024</v>
      </c>
      <c r="AI519" s="274" t="s">
        <v>1966</v>
      </c>
    </row>
    <row r="520" spans="1:35" ht="112">
      <c r="A520" s="11"/>
      <c r="B520" s="208" t="s">
        <v>2025</v>
      </c>
      <c r="C520" s="208" t="s">
        <v>2026</v>
      </c>
      <c r="D520" s="208" t="s">
        <v>707</v>
      </c>
      <c r="E520" s="208" t="s">
        <v>864</v>
      </c>
      <c r="F520" s="262" t="s">
        <v>1532</v>
      </c>
      <c r="G520" s="208">
        <v>1</v>
      </c>
      <c r="H520" s="208" t="s">
        <v>1953</v>
      </c>
      <c r="I520" s="208" t="s">
        <v>2027</v>
      </c>
      <c r="J520" s="208" t="s">
        <v>71</v>
      </c>
      <c r="K520" s="11"/>
      <c r="L520" s="208">
        <v>1</v>
      </c>
      <c r="M520" s="208">
        <v>0</v>
      </c>
      <c r="N520" s="208">
        <v>0</v>
      </c>
      <c r="O520" s="11"/>
      <c r="P520" s="272">
        <v>43466</v>
      </c>
      <c r="Q520" s="272">
        <v>45641</v>
      </c>
      <c r="R520" s="264"/>
      <c r="S520" s="264"/>
      <c r="T520" s="264"/>
      <c r="U520" s="208" t="s">
        <v>96</v>
      </c>
      <c r="V520" s="11"/>
      <c r="W520" s="11"/>
      <c r="X520" s="208">
        <v>0.43</v>
      </c>
      <c r="Y520" s="208">
        <v>3.62</v>
      </c>
      <c r="Z520" s="208">
        <v>3.62</v>
      </c>
      <c r="AA520" s="208">
        <v>1.5</v>
      </c>
      <c r="AB520" s="273">
        <v>0</v>
      </c>
      <c r="AC520" s="208">
        <v>0.42499999999999999</v>
      </c>
      <c r="AD520" s="208">
        <v>3.6219999999999999</v>
      </c>
      <c r="AE520" s="208">
        <v>3.6219999999999999</v>
      </c>
      <c r="AF520" s="208">
        <v>3.6219999999999999</v>
      </c>
      <c r="AG520" s="266"/>
      <c r="AH520" s="274" t="s">
        <v>2028</v>
      </c>
      <c r="AI520" s="274" t="s">
        <v>1966</v>
      </c>
    </row>
    <row r="521" spans="1:35" ht="112">
      <c r="A521" s="11"/>
      <c r="B521" s="208" t="s">
        <v>2029</v>
      </c>
      <c r="C521" s="208" t="s">
        <v>2030</v>
      </c>
      <c r="D521" s="208" t="s">
        <v>707</v>
      </c>
      <c r="E521" s="208" t="s">
        <v>864</v>
      </c>
      <c r="F521" s="262" t="s">
        <v>1535</v>
      </c>
      <c r="G521" s="208">
        <v>1</v>
      </c>
      <c r="H521" s="208" t="s">
        <v>1953</v>
      </c>
      <c r="I521" s="208" t="s">
        <v>2031</v>
      </c>
      <c r="J521" s="208" t="s">
        <v>71</v>
      </c>
      <c r="K521" s="11"/>
      <c r="L521" s="208">
        <v>1</v>
      </c>
      <c r="M521" s="208">
        <v>0</v>
      </c>
      <c r="N521" s="208">
        <v>0</v>
      </c>
      <c r="O521" s="11"/>
      <c r="P521" s="272">
        <v>43466</v>
      </c>
      <c r="Q521" s="272">
        <v>45641</v>
      </c>
      <c r="R521" s="264"/>
      <c r="S521" s="264"/>
      <c r="T521" s="264"/>
      <c r="U521" s="208" t="s">
        <v>90</v>
      </c>
      <c r="V521" s="11"/>
      <c r="W521" s="11"/>
      <c r="X521" s="11"/>
      <c r="Y521" s="11"/>
      <c r="Z521" s="11"/>
      <c r="AA521" s="208">
        <v>9.84</v>
      </c>
      <c r="AB521" s="273">
        <v>0</v>
      </c>
      <c r="AC521" s="11"/>
      <c r="AD521" s="11"/>
      <c r="AE521" s="11"/>
      <c r="AF521" s="11"/>
      <c r="AG521" s="266"/>
      <c r="AH521" s="274" t="s">
        <v>2032</v>
      </c>
      <c r="AI521" s="274" t="s">
        <v>1966</v>
      </c>
    </row>
    <row r="522" spans="1:35" ht="70">
      <c r="A522" s="11"/>
      <c r="B522" s="208" t="s">
        <v>2034</v>
      </c>
      <c r="C522" s="208" t="s">
        <v>2035</v>
      </c>
      <c r="D522" s="208" t="s">
        <v>707</v>
      </c>
      <c r="E522" s="208" t="s">
        <v>864</v>
      </c>
      <c r="F522" s="262" t="s">
        <v>1538</v>
      </c>
      <c r="G522" s="11"/>
      <c r="H522" s="11"/>
      <c r="I522" s="208"/>
      <c r="J522" s="208" t="s">
        <v>71</v>
      </c>
      <c r="K522" s="11"/>
      <c r="L522" s="208">
        <v>1</v>
      </c>
      <c r="M522" s="208">
        <v>0</v>
      </c>
      <c r="N522" s="208">
        <v>0</v>
      </c>
      <c r="O522" s="11"/>
      <c r="P522" s="272">
        <v>43466</v>
      </c>
      <c r="Q522" s="272">
        <v>45641</v>
      </c>
      <c r="R522" s="264"/>
      <c r="S522" s="264"/>
      <c r="T522" s="264"/>
      <c r="U522" s="208" t="s">
        <v>96</v>
      </c>
      <c r="V522" s="11"/>
      <c r="W522" s="11"/>
      <c r="X522" s="11"/>
      <c r="Y522" s="11"/>
      <c r="Z522" s="11"/>
      <c r="AA522" s="11"/>
      <c r="AB522" s="273">
        <v>0</v>
      </c>
      <c r="AC522" s="11"/>
      <c r="AD522" s="11"/>
      <c r="AE522" s="11"/>
      <c r="AF522" s="11"/>
      <c r="AG522" s="266"/>
      <c r="AH522" s="274" t="s">
        <v>2037</v>
      </c>
      <c r="AI522" s="274" t="s">
        <v>1966</v>
      </c>
    </row>
    <row r="523" spans="1:35" ht="93.75" customHeight="1">
      <c r="A523" s="11"/>
      <c r="B523" s="208" t="s">
        <v>2038</v>
      </c>
      <c r="C523" s="208" t="s">
        <v>2039</v>
      </c>
      <c r="D523" s="208" t="s">
        <v>707</v>
      </c>
      <c r="E523" s="208" t="s">
        <v>864</v>
      </c>
      <c r="F523" s="262" t="s">
        <v>1543</v>
      </c>
      <c r="G523" s="208">
        <v>1</v>
      </c>
      <c r="H523" s="208" t="s">
        <v>1953</v>
      </c>
      <c r="I523" s="208" t="s">
        <v>2040</v>
      </c>
      <c r="J523" s="208" t="s">
        <v>71</v>
      </c>
      <c r="K523" s="11"/>
      <c r="L523" s="208">
        <v>1</v>
      </c>
      <c r="M523" s="208">
        <v>0</v>
      </c>
      <c r="N523" s="208">
        <v>0</v>
      </c>
      <c r="O523" s="11"/>
      <c r="P523" s="272">
        <v>43466</v>
      </c>
      <c r="Q523" s="272">
        <v>45641</v>
      </c>
      <c r="R523" s="264"/>
      <c r="S523" s="264"/>
      <c r="T523" s="264"/>
      <c r="U523" s="208" t="s">
        <v>90</v>
      </c>
      <c r="V523" s="11"/>
      <c r="W523" s="11"/>
      <c r="X523" s="208">
        <v>44.59</v>
      </c>
      <c r="Y523" s="208">
        <v>44.59</v>
      </c>
      <c r="Z523" s="208">
        <v>44.59</v>
      </c>
      <c r="AA523" s="208">
        <v>44.59</v>
      </c>
      <c r="AB523" s="273">
        <v>0</v>
      </c>
      <c r="AC523" s="11"/>
      <c r="AD523" s="208">
        <v>44.59</v>
      </c>
      <c r="AE523" s="208">
        <v>44.59</v>
      </c>
      <c r="AF523" s="208">
        <v>44.59</v>
      </c>
      <c r="AG523" s="266"/>
      <c r="AH523" s="274" t="s">
        <v>2037</v>
      </c>
      <c r="AI523" s="274" t="s">
        <v>1966</v>
      </c>
    </row>
    <row r="524" spans="1:35" ht="112">
      <c r="A524" s="11"/>
      <c r="B524" s="208" t="s">
        <v>2041</v>
      </c>
      <c r="C524" s="208" t="s">
        <v>2038</v>
      </c>
      <c r="D524" s="208" t="s">
        <v>707</v>
      </c>
      <c r="E524" s="208" t="s">
        <v>864</v>
      </c>
      <c r="F524" s="262" t="s">
        <v>1545</v>
      </c>
      <c r="G524" s="208">
        <v>1</v>
      </c>
      <c r="H524" s="208" t="s">
        <v>1953</v>
      </c>
      <c r="I524" s="208" t="s">
        <v>2042</v>
      </c>
      <c r="J524" s="208" t="s">
        <v>71</v>
      </c>
      <c r="K524" s="11"/>
      <c r="L524" s="208">
        <v>1</v>
      </c>
      <c r="M524" s="208">
        <v>0</v>
      </c>
      <c r="N524" s="208">
        <v>0</v>
      </c>
      <c r="O524" s="11"/>
      <c r="P524" s="272">
        <v>43466</v>
      </c>
      <c r="Q524" s="272">
        <v>45641</v>
      </c>
      <c r="R524" s="264"/>
      <c r="S524" s="264"/>
      <c r="T524" s="264"/>
      <c r="U524" s="208" t="s">
        <v>90</v>
      </c>
      <c r="V524" s="208"/>
      <c r="W524" s="11"/>
      <c r="X524" s="208">
        <v>2.97</v>
      </c>
      <c r="Y524" s="208">
        <v>2.97</v>
      </c>
      <c r="Z524" s="208">
        <v>2.97</v>
      </c>
      <c r="AA524" s="208">
        <v>2.97</v>
      </c>
      <c r="AB524" s="273">
        <v>0</v>
      </c>
      <c r="AC524" s="11"/>
      <c r="AD524" s="208">
        <v>2.968</v>
      </c>
      <c r="AE524" s="208">
        <v>2.968</v>
      </c>
      <c r="AF524" s="208">
        <v>2.968</v>
      </c>
      <c r="AG524" s="266"/>
      <c r="AH524" s="274" t="s">
        <v>2043</v>
      </c>
      <c r="AI524" s="274" t="s">
        <v>1966</v>
      </c>
    </row>
    <row r="525" spans="1:35" ht="112">
      <c r="A525" s="11"/>
      <c r="B525" s="208" t="s">
        <v>2044</v>
      </c>
      <c r="C525" s="208" t="s">
        <v>2045</v>
      </c>
      <c r="D525" s="208" t="s">
        <v>707</v>
      </c>
      <c r="E525" s="208" t="s">
        <v>864</v>
      </c>
      <c r="F525" s="262" t="s">
        <v>1550</v>
      </c>
      <c r="G525" s="208">
        <v>1</v>
      </c>
      <c r="H525" s="208" t="s">
        <v>1953</v>
      </c>
      <c r="I525" s="208" t="s">
        <v>2046</v>
      </c>
      <c r="J525" s="208" t="s">
        <v>71</v>
      </c>
      <c r="K525" s="11"/>
      <c r="L525" s="208">
        <v>1</v>
      </c>
      <c r="M525" s="208">
        <v>0</v>
      </c>
      <c r="N525" s="208">
        <v>0</v>
      </c>
      <c r="O525" s="11"/>
      <c r="P525" s="272">
        <v>43466</v>
      </c>
      <c r="Q525" s="272">
        <v>43830</v>
      </c>
      <c r="R525" s="264"/>
      <c r="S525" s="264"/>
      <c r="T525" s="264"/>
      <c r="U525" s="208" t="s">
        <v>96</v>
      </c>
      <c r="V525" s="208">
        <v>4.79</v>
      </c>
      <c r="W525" s="11"/>
      <c r="X525" s="11"/>
      <c r="Y525" s="11"/>
      <c r="Z525" s="11"/>
      <c r="AA525" s="11"/>
      <c r="AB525" s="273">
        <v>4.79</v>
      </c>
      <c r="AC525" s="11"/>
      <c r="AD525" s="11"/>
      <c r="AE525" s="11"/>
      <c r="AF525" s="11"/>
      <c r="AG525" s="266"/>
      <c r="AH525" s="274" t="s">
        <v>2047</v>
      </c>
      <c r="AI525" s="274" t="s">
        <v>1966</v>
      </c>
    </row>
    <row r="526" spans="1:35" ht="84">
      <c r="A526" s="11"/>
      <c r="B526" s="208" t="s">
        <v>2048</v>
      </c>
      <c r="C526" s="208" t="s">
        <v>2049</v>
      </c>
      <c r="D526" s="208" t="s">
        <v>707</v>
      </c>
      <c r="E526" s="208" t="s">
        <v>864</v>
      </c>
      <c r="F526" s="208">
        <v>28</v>
      </c>
      <c r="G526" s="11"/>
      <c r="H526" s="11"/>
      <c r="I526" s="11"/>
      <c r="J526" s="11"/>
      <c r="K526" s="11"/>
      <c r="L526" s="208">
        <v>1</v>
      </c>
      <c r="M526" s="208">
        <v>0</v>
      </c>
      <c r="N526" s="208">
        <v>0</v>
      </c>
      <c r="O526" s="11"/>
      <c r="P526" s="275">
        <v>43466</v>
      </c>
      <c r="Q526" s="276">
        <v>43814</v>
      </c>
      <c r="R526" s="11"/>
      <c r="S526" s="11"/>
      <c r="T526" s="11"/>
      <c r="U526" s="11"/>
      <c r="V526" s="11"/>
      <c r="W526" s="11"/>
      <c r="X526" s="11"/>
      <c r="Y526" s="11"/>
      <c r="Z526" s="11"/>
      <c r="AA526" s="11"/>
      <c r="AB526" s="11"/>
      <c r="AC526" s="11"/>
      <c r="AD526" s="11"/>
      <c r="AE526" s="11"/>
      <c r="AF526" s="11"/>
      <c r="AG526" s="11"/>
      <c r="AH526" s="11"/>
      <c r="AI526" s="11"/>
    </row>
    <row r="527" spans="1:35" ht="84">
      <c r="A527" s="11"/>
      <c r="B527" s="208" t="s">
        <v>2050</v>
      </c>
      <c r="C527" s="208" t="s">
        <v>2051</v>
      </c>
      <c r="D527" s="208" t="s">
        <v>707</v>
      </c>
      <c r="E527" s="208" t="s">
        <v>864</v>
      </c>
      <c r="F527" s="208">
        <v>29</v>
      </c>
      <c r="G527" s="11"/>
      <c r="H527" s="11"/>
      <c r="I527" s="11"/>
      <c r="J527" s="11"/>
      <c r="K527" s="11"/>
      <c r="L527" s="208">
        <v>1</v>
      </c>
      <c r="M527" s="208">
        <v>0</v>
      </c>
      <c r="N527" s="208">
        <v>0</v>
      </c>
      <c r="O527" s="11"/>
      <c r="P527" s="275">
        <v>43466</v>
      </c>
      <c r="Q527" s="276">
        <v>44180</v>
      </c>
      <c r="R527" s="11"/>
      <c r="S527" s="11"/>
      <c r="T527" s="11"/>
      <c r="U527" s="11"/>
      <c r="V527" s="11"/>
      <c r="W527" s="11"/>
      <c r="X527" s="11"/>
      <c r="Y527" s="11"/>
      <c r="Z527" s="11"/>
      <c r="AA527" s="11"/>
      <c r="AB527" s="11"/>
      <c r="AC527" s="11"/>
      <c r="AD527" s="11"/>
      <c r="AE527" s="11"/>
      <c r="AF527" s="11"/>
      <c r="AG527" s="11"/>
      <c r="AH527" s="11"/>
      <c r="AI527" s="11"/>
    </row>
    <row r="528" spans="1:35" ht="126">
      <c r="A528" s="11"/>
      <c r="B528" s="208" t="s">
        <v>2054</v>
      </c>
      <c r="C528" s="208" t="s">
        <v>2055</v>
      </c>
      <c r="D528" s="208" t="s">
        <v>707</v>
      </c>
      <c r="E528" s="208" t="s">
        <v>864</v>
      </c>
      <c r="F528" s="208">
        <v>30</v>
      </c>
      <c r="G528" s="11"/>
      <c r="H528" s="11"/>
      <c r="I528" s="11"/>
      <c r="J528" s="11"/>
      <c r="K528" s="11"/>
      <c r="L528" s="208">
        <v>1</v>
      </c>
      <c r="M528" s="208">
        <v>0</v>
      </c>
      <c r="N528" s="208">
        <v>0</v>
      </c>
      <c r="O528" s="11"/>
      <c r="P528" s="275">
        <v>43466</v>
      </c>
      <c r="Q528" s="276">
        <v>44545</v>
      </c>
      <c r="R528" s="11"/>
      <c r="S528" s="11"/>
      <c r="T528" s="11"/>
      <c r="U528" s="11"/>
      <c r="V528" s="11"/>
      <c r="W528" s="11"/>
      <c r="X528" s="11"/>
      <c r="Y528" s="11"/>
      <c r="Z528" s="11"/>
      <c r="AA528" s="11"/>
      <c r="AB528" s="11"/>
      <c r="AC528" s="11"/>
      <c r="AD528" s="11"/>
      <c r="AE528" s="11"/>
      <c r="AF528" s="11"/>
      <c r="AG528" s="11"/>
      <c r="AH528" s="11"/>
      <c r="AI528" s="11"/>
    </row>
    <row r="529" spans="1:35" ht="56">
      <c r="A529" s="11"/>
      <c r="B529" s="208" t="s">
        <v>2056</v>
      </c>
      <c r="C529" s="208" t="s">
        <v>2057</v>
      </c>
      <c r="D529" s="208" t="s">
        <v>707</v>
      </c>
      <c r="E529" s="208" t="s">
        <v>864</v>
      </c>
      <c r="F529" s="208">
        <v>31</v>
      </c>
      <c r="G529" s="11"/>
      <c r="H529" s="11"/>
      <c r="I529" s="11"/>
      <c r="J529" s="11"/>
      <c r="K529" s="11"/>
      <c r="L529" s="208">
        <v>1</v>
      </c>
      <c r="M529" s="208">
        <v>0</v>
      </c>
      <c r="N529" s="208">
        <v>0</v>
      </c>
      <c r="O529" s="11"/>
      <c r="P529" s="275">
        <v>43466</v>
      </c>
      <c r="Q529" s="276">
        <v>45641</v>
      </c>
      <c r="R529" s="11"/>
      <c r="S529" s="11"/>
      <c r="T529" s="11"/>
      <c r="U529" s="11"/>
      <c r="V529" s="11"/>
      <c r="W529" s="11"/>
      <c r="X529" s="11"/>
      <c r="Y529" s="11"/>
      <c r="Z529" s="11"/>
      <c r="AA529" s="11"/>
      <c r="AB529" s="11"/>
      <c r="AC529" s="11"/>
      <c r="AD529" s="11"/>
      <c r="AE529" s="11"/>
      <c r="AF529" s="11"/>
      <c r="AG529" s="11"/>
      <c r="AH529" s="11"/>
      <c r="AI529" s="11"/>
    </row>
    <row r="530" spans="1:35" ht="182">
      <c r="A530" s="11"/>
      <c r="B530" s="208" t="s">
        <v>2058</v>
      </c>
      <c r="C530" s="208" t="s">
        <v>2059</v>
      </c>
      <c r="D530" s="208" t="s">
        <v>707</v>
      </c>
      <c r="E530" s="208" t="s">
        <v>864</v>
      </c>
      <c r="F530" s="208">
        <v>32</v>
      </c>
      <c r="G530" s="11"/>
      <c r="H530" s="11"/>
      <c r="I530" s="11"/>
      <c r="J530" s="11"/>
      <c r="K530" s="11"/>
      <c r="L530" s="208">
        <v>1</v>
      </c>
      <c r="M530" s="208">
        <v>0</v>
      </c>
      <c r="N530" s="208">
        <v>0</v>
      </c>
      <c r="O530" s="11"/>
      <c r="P530" s="275">
        <v>43466</v>
      </c>
      <c r="Q530" s="275">
        <v>43692</v>
      </c>
      <c r="R530" s="11"/>
      <c r="S530" s="11"/>
      <c r="T530" s="11"/>
      <c r="U530" s="11"/>
      <c r="V530" s="11"/>
      <c r="W530" s="11"/>
      <c r="X530" s="11"/>
      <c r="Y530" s="11"/>
      <c r="Z530" s="11"/>
      <c r="AA530" s="11"/>
      <c r="AB530" s="11"/>
      <c r="AC530" s="11"/>
      <c r="AD530" s="11"/>
      <c r="AE530" s="11"/>
      <c r="AF530" s="11"/>
      <c r="AG530" s="11"/>
      <c r="AH530" s="11"/>
      <c r="AI530" s="11"/>
    </row>
    <row r="531" spans="1:35" ht="112">
      <c r="A531" s="11"/>
      <c r="B531" s="208" t="s">
        <v>2060</v>
      </c>
      <c r="C531" s="208" t="s">
        <v>2061</v>
      </c>
      <c r="D531" s="208" t="s">
        <v>707</v>
      </c>
      <c r="E531" s="208" t="s">
        <v>864</v>
      </c>
      <c r="F531" s="208">
        <v>33</v>
      </c>
      <c r="G531" s="11"/>
      <c r="H531" s="11"/>
      <c r="I531" s="11"/>
      <c r="J531" s="11"/>
      <c r="K531" s="11"/>
      <c r="L531" s="208">
        <v>1</v>
      </c>
      <c r="M531" s="208">
        <v>0</v>
      </c>
      <c r="N531" s="208">
        <v>0</v>
      </c>
      <c r="O531" s="11"/>
      <c r="P531" s="275">
        <v>43466</v>
      </c>
      <c r="Q531" s="276">
        <v>44545</v>
      </c>
      <c r="R531" s="11"/>
      <c r="S531" s="11"/>
      <c r="T531" s="11"/>
      <c r="U531" s="11"/>
      <c r="V531" s="11"/>
      <c r="W531" s="11"/>
      <c r="X531" s="11"/>
      <c r="Y531" s="11"/>
      <c r="Z531" s="11"/>
      <c r="AA531" s="11"/>
      <c r="AB531" s="11"/>
      <c r="AC531" s="11"/>
      <c r="AD531" s="11"/>
      <c r="AE531" s="11"/>
      <c r="AF531" s="11"/>
      <c r="AG531" s="11"/>
      <c r="AH531" s="11"/>
      <c r="AI531" s="11"/>
    </row>
    <row r="532" spans="1:35" ht="42">
      <c r="A532" s="246" t="s">
        <v>1728</v>
      </c>
      <c r="B532" s="192" t="s">
        <v>2062</v>
      </c>
      <c r="C532" s="244"/>
      <c r="D532" s="84"/>
      <c r="E532" s="84"/>
      <c r="F532" s="193"/>
      <c r="G532" s="84"/>
      <c r="H532" s="84"/>
      <c r="I532" s="84"/>
      <c r="J532" s="244"/>
      <c r="K532" s="84"/>
      <c r="L532" s="244"/>
      <c r="M532" s="244"/>
      <c r="N532" s="244"/>
      <c r="O532" s="84"/>
      <c r="P532" s="85"/>
      <c r="Q532" s="85"/>
      <c r="R532" s="245"/>
      <c r="S532" s="86"/>
      <c r="T532" s="86"/>
      <c r="U532" s="84"/>
      <c r="V532" s="84"/>
      <c r="W532" s="84"/>
      <c r="X532" s="84"/>
      <c r="Y532" s="84"/>
      <c r="Z532" s="84"/>
      <c r="AA532" s="194"/>
      <c r="AB532" s="195"/>
      <c r="AC532" s="84"/>
      <c r="AD532" s="84"/>
      <c r="AE532" s="84"/>
      <c r="AF532" s="8"/>
      <c r="AG532" s="33"/>
      <c r="AH532" s="34"/>
      <c r="AI532" s="35"/>
    </row>
    <row r="533" spans="1:35" ht="13">
      <c r="A533" s="11"/>
      <c r="B533" s="11"/>
      <c r="C533" s="11"/>
      <c r="D533" s="11"/>
      <c r="E533" s="11"/>
      <c r="F533" s="270"/>
      <c r="G533" s="11"/>
      <c r="H533" s="11"/>
      <c r="I533" s="11"/>
      <c r="J533" s="11"/>
      <c r="K533" s="11"/>
      <c r="L533" s="11"/>
      <c r="M533" s="11"/>
      <c r="N533" s="11"/>
      <c r="O533" s="11"/>
      <c r="P533" s="263"/>
      <c r="Q533" s="263"/>
      <c r="R533" s="264"/>
      <c r="S533" s="264"/>
      <c r="T533" s="264"/>
      <c r="U533" s="11"/>
      <c r="V533" s="11"/>
      <c r="W533" s="11"/>
      <c r="X533" s="11"/>
      <c r="Y533" s="11"/>
      <c r="Z533" s="11"/>
      <c r="AA533" s="11"/>
      <c r="AB533" s="265"/>
      <c r="AC533" s="11"/>
      <c r="AD533" s="11"/>
      <c r="AE533" s="11"/>
      <c r="AF533" s="11"/>
      <c r="AG533" s="266"/>
      <c r="AH533" s="267"/>
      <c r="AI533" s="267"/>
    </row>
    <row r="534" spans="1:35" ht="13">
      <c r="A534" s="11"/>
      <c r="B534" s="11"/>
      <c r="C534" s="11"/>
      <c r="D534" s="11"/>
      <c r="E534" s="11"/>
      <c r="F534" s="270"/>
      <c r="G534" s="11"/>
      <c r="H534" s="11"/>
      <c r="I534" s="11"/>
      <c r="J534" s="11"/>
      <c r="K534" s="11"/>
      <c r="L534" s="11"/>
      <c r="M534" s="11"/>
      <c r="N534" s="11"/>
      <c r="O534" s="11"/>
      <c r="P534" s="263"/>
      <c r="Q534" s="263"/>
      <c r="R534" s="264"/>
      <c r="S534" s="264"/>
      <c r="T534" s="264"/>
      <c r="U534" s="11"/>
      <c r="V534" s="11"/>
      <c r="W534" s="11"/>
      <c r="X534" s="11"/>
      <c r="Y534" s="11"/>
      <c r="Z534" s="11"/>
      <c r="AA534" s="11"/>
      <c r="AB534" s="265"/>
      <c r="AC534" s="11"/>
      <c r="AD534" s="11"/>
      <c r="AE534" s="11"/>
      <c r="AF534" s="11"/>
      <c r="AG534" s="266"/>
      <c r="AH534" s="267"/>
      <c r="AI534" s="267"/>
    </row>
    <row r="535" spans="1:35" ht="70">
      <c r="A535" s="246" t="s">
        <v>1728</v>
      </c>
      <c r="B535" s="192" t="s">
        <v>2065</v>
      </c>
      <c r="C535" s="244"/>
      <c r="D535" s="84"/>
      <c r="E535" s="84"/>
      <c r="F535" s="193"/>
      <c r="G535" s="84"/>
      <c r="H535" s="84"/>
      <c r="I535" s="84"/>
      <c r="J535" s="244"/>
      <c r="K535" s="84"/>
      <c r="L535" s="244"/>
      <c r="M535" s="244"/>
      <c r="N535" s="244"/>
      <c r="O535" s="84"/>
      <c r="P535" s="85"/>
      <c r="Q535" s="85"/>
      <c r="R535" s="245"/>
      <c r="S535" s="86"/>
      <c r="T535" s="86"/>
      <c r="U535" s="84"/>
      <c r="V535" s="84"/>
      <c r="W535" s="84"/>
      <c r="X535" s="84"/>
      <c r="Y535" s="84"/>
      <c r="Z535" s="84"/>
      <c r="AA535" s="194"/>
      <c r="AB535" s="195"/>
      <c r="AC535" s="84"/>
      <c r="AD535" s="84"/>
      <c r="AE535" s="84"/>
      <c r="AF535" s="8"/>
      <c r="AG535" s="33"/>
      <c r="AH535" s="34"/>
      <c r="AI535" s="35"/>
    </row>
    <row r="536" spans="1:35" ht="28">
      <c r="A536" s="11"/>
      <c r="B536" s="208" t="s">
        <v>2066</v>
      </c>
      <c r="C536" s="11"/>
      <c r="D536" s="11"/>
      <c r="E536" s="11"/>
      <c r="F536" s="270"/>
      <c r="G536" s="11"/>
      <c r="H536" s="11"/>
      <c r="I536" s="11"/>
      <c r="J536" s="208" t="s">
        <v>71</v>
      </c>
      <c r="K536" s="11"/>
      <c r="L536" s="208">
        <v>1</v>
      </c>
      <c r="M536" s="208">
        <v>0</v>
      </c>
      <c r="N536" s="208">
        <v>0</v>
      </c>
      <c r="O536" s="11"/>
      <c r="P536" s="272">
        <v>43466</v>
      </c>
      <c r="Q536" s="263"/>
      <c r="R536" s="264"/>
      <c r="S536" s="264"/>
      <c r="T536" s="264"/>
      <c r="U536" s="208" t="s">
        <v>96</v>
      </c>
      <c r="V536" s="11"/>
      <c r="W536" s="11"/>
      <c r="X536" s="11"/>
      <c r="Y536" s="11"/>
      <c r="Z536" s="11"/>
      <c r="AA536" s="11"/>
      <c r="AB536" s="265"/>
      <c r="AC536" s="11"/>
      <c r="AD536" s="11"/>
      <c r="AE536" s="11"/>
      <c r="AF536" s="11"/>
      <c r="AG536" s="266"/>
      <c r="AH536" s="267"/>
      <c r="AI536" s="267"/>
    </row>
    <row r="537" spans="1:35" ht="28">
      <c r="A537" s="11"/>
      <c r="B537" s="208" t="s">
        <v>2067</v>
      </c>
      <c r="C537" s="11"/>
      <c r="D537" s="11"/>
      <c r="E537" s="11"/>
      <c r="F537" s="270"/>
      <c r="G537" s="11"/>
      <c r="H537" s="11"/>
      <c r="I537" s="11"/>
      <c r="J537" s="208" t="s">
        <v>71</v>
      </c>
      <c r="K537" s="11"/>
      <c r="L537" s="208">
        <v>1</v>
      </c>
      <c r="M537" s="208">
        <v>0</v>
      </c>
      <c r="N537" s="208">
        <v>0</v>
      </c>
      <c r="O537" s="11"/>
      <c r="P537" s="272">
        <v>43466</v>
      </c>
      <c r="Q537" s="263"/>
      <c r="R537" s="264"/>
      <c r="S537" s="264"/>
      <c r="T537" s="264"/>
      <c r="U537" s="208" t="s">
        <v>96</v>
      </c>
      <c r="V537" s="11"/>
      <c r="W537" s="11"/>
      <c r="X537" s="11"/>
      <c r="Y537" s="11"/>
      <c r="Z537" s="11"/>
      <c r="AA537" s="11"/>
      <c r="AB537" s="265"/>
      <c r="AC537" s="11"/>
      <c r="AD537" s="11"/>
      <c r="AE537" s="11"/>
      <c r="AF537" s="11"/>
      <c r="AG537" s="266"/>
      <c r="AH537" s="267"/>
      <c r="AI537" s="267"/>
    </row>
    <row r="538" spans="1:35" ht="42">
      <c r="A538" s="11"/>
      <c r="B538" s="208" t="s">
        <v>2068</v>
      </c>
      <c r="C538" s="11"/>
      <c r="D538" s="11"/>
      <c r="E538" s="11"/>
      <c r="F538" s="270"/>
      <c r="G538" s="11"/>
      <c r="H538" s="11"/>
      <c r="I538" s="11"/>
      <c r="J538" s="208" t="s">
        <v>71</v>
      </c>
      <c r="K538" s="11"/>
      <c r="L538" s="208">
        <v>1</v>
      </c>
      <c r="M538" s="208">
        <v>0</v>
      </c>
      <c r="N538" s="208">
        <v>0</v>
      </c>
      <c r="O538" s="11"/>
      <c r="P538" s="272">
        <v>43466</v>
      </c>
      <c r="Q538" s="263"/>
      <c r="R538" s="264"/>
      <c r="S538" s="264"/>
      <c r="T538" s="264"/>
      <c r="U538" s="208" t="s">
        <v>96</v>
      </c>
      <c r="V538" s="11"/>
      <c r="W538" s="11"/>
      <c r="X538" s="11"/>
      <c r="Y538" s="11"/>
      <c r="Z538" s="11"/>
      <c r="AA538" s="11"/>
      <c r="AB538" s="265"/>
      <c r="AC538" s="11"/>
      <c r="AD538" s="11"/>
      <c r="AE538" s="11"/>
      <c r="AF538" s="11"/>
      <c r="AG538" s="266"/>
      <c r="AH538" s="267"/>
      <c r="AI538" s="267"/>
    </row>
    <row r="539" spans="1:35" ht="42">
      <c r="A539" s="11"/>
      <c r="B539" s="208" t="s">
        <v>2069</v>
      </c>
      <c r="C539" s="11"/>
      <c r="D539" s="11"/>
      <c r="E539" s="11"/>
      <c r="F539" s="270"/>
      <c r="G539" s="11"/>
      <c r="H539" s="11"/>
      <c r="I539" s="11"/>
      <c r="J539" s="208" t="s">
        <v>71</v>
      </c>
      <c r="K539" s="11"/>
      <c r="L539" s="208">
        <v>1</v>
      </c>
      <c r="M539" s="208">
        <v>0</v>
      </c>
      <c r="N539" s="208">
        <v>0</v>
      </c>
      <c r="O539" s="11"/>
      <c r="P539" s="272">
        <v>43466</v>
      </c>
      <c r="Q539" s="263"/>
      <c r="R539" s="264"/>
      <c r="S539" s="264"/>
      <c r="T539" s="264"/>
      <c r="U539" s="208" t="s">
        <v>96</v>
      </c>
      <c r="V539" s="11"/>
      <c r="W539" s="11"/>
      <c r="X539" s="11"/>
      <c r="Y539" s="11"/>
      <c r="Z539" s="11"/>
      <c r="AA539" s="11"/>
      <c r="AB539" s="265"/>
      <c r="AC539" s="11"/>
      <c r="AD539" s="11"/>
      <c r="AE539" s="11"/>
      <c r="AF539" s="11"/>
      <c r="AG539" s="266"/>
      <c r="AH539" s="267"/>
      <c r="AI539" s="267"/>
    </row>
    <row r="540" spans="1:35" ht="42">
      <c r="A540" s="11"/>
      <c r="B540" s="208" t="s">
        <v>2070</v>
      </c>
      <c r="C540" s="11"/>
      <c r="D540" s="11"/>
      <c r="E540" s="11"/>
      <c r="F540" s="270"/>
      <c r="G540" s="11"/>
      <c r="H540" s="11"/>
      <c r="I540" s="11"/>
      <c r="J540" s="208" t="s">
        <v>71</v>
      </c>
      <c r="K540" s="11"/>
      <c r="L540" s="208">
        <v>1</v>
      </c>
      <c r="M540" s="208">
        <v>0</v>
      </c>
      <c r="N540" s="208">
        <v>0</v>
      </c>
      <c r="O540" s="11"/>
      <c r="P540" s="272">
        <v>43466</v>
      </c>
      <c r="Q540" s="263"/>
      <c r="R540" s="264"/>
      <c r="S540" s="264"/>
      <c r="T540" s="264"/>
      <c r="U540" s="208" t="s">
        <v>96</v>
      </c>
      <c r="V540" s="11"/>
      <c r="W540" s="11"/>
      <c r="X540" s="11"/>
      <c r="Y540" s="11"/>
      <c r="Z540" s="11"/>
      <c r="AA540" s="11"/>
      <c r="AB540" s="265"/>
      <c r="AC540" s="11"/>
      <c r="AD540" s="11"/>
      <c r="AE540" s="11"/>
      <c r="AF540" s="11"/>
      <c r="AG540" s="266"/>
      <c r="AH540" s="267"/>
      <c r="AI540" s="267"/>
    </row>
    <row r="541" spans="1:35" ht="28">
      <c r="A541" s="11"/>
      <c r="B541" s="208" t="s">
        <v>2073</v>
      </c>
      <c r="C541" s="11"/>
      <c r="D541" s="11"/>
      <c r="E541" s="11"/>
      <c r="F541" s="270"/>
      <c r="G541" s="11"/>
      <c r="H541" s="11"/>
      <c r="I541" s="11"/>
      <c r="J541" s="208" t="s">
        <v>71</v>
      </c>
      <c r="K541" s="11"/>
      <c r="L541" s="208">
        <v>1</v>
      </c>
      <c r="M541" s="208">
        <v>0</v>
      </c>
      <c r="N541" s="208">
        <v>0</v>
      </c>
      <c r="O541" s="11"/>
      <c r="P541" s="272">
        <v>43466</v>
      </c>
      <c r="Q541" s="263"/>
      <c r="R541" s="264"/>
      <c r="S541" s="264"/>
      <c r="T541" s="264"/>
      <c r="U541" s="208" t="s">
        <v>96</v>
      </c>
      <c r="V541" s="11"/>
      <c r="W541" s="11"/>
      <c r="X541" s="11"/>
      <c r="Y541" s="11"/>
      <c r="Z541" s="11"/>
      <c r="AA541" s="11"/>
      <c r="AB541" s="265"/>
      <c r="AC541" s="11"/>
      <c r="AD541" s="11"/>
      <c r="AE541" s="11"/>
      <c r="AF541" s="11"/>
      <c r="AG541" s="266"/>
      <c r="AH541" s="267"/>
      <c r="AI541" s="267"/>
    </row>
    <row r="542" spans="1:35" ht="28">
      <c r="A542" s="11"/>
      <c r="B542" s="208" t="s">
        <v>2074</v>
      </c>
      <c r="C542" s="11"/>
      <c r="D542" s="11"/>
      <c r="E542" s="11"/>
      <c r="F542" s="270"/>
      <c r="G542" s="11"/>
      <c r="H542" s="11"/>
      <c r="I542" s="11"/>
      <c r="J542" s="208" t="s">
        <v>71</v>
      </c>
      <c r="K542" s="11"/>
      <c r="L542" s="208">
        <v>1</v>
      </c>
      <c r="M542" s="208">
        <v>0</v>
      </c>
      <c r="N542" s="208">
        <v>0</v>
      </c>
      <c r="O542" s="11"/>
      <c r="P542" s="272">
        <v>43466</v>
      </c>
      <c r="Q542" s="263"/>
      <c r="R542" s="264"/>
      <c r="S542" s="264"/>
      <c r="T542" s="264"/>
      <c r="U542" s="208" t="s">
        <v>96</v>
      </c>
      <c r="V542" s="11"/>
      <c r="W542" s="11"/>
      <c r="X542" s="11"/>
      <c r="Y542" s="11"/>
      <c r="Z542" s="11"/>
      <c r="AA542" s="11"/>
      <c r="AB542" s="265"/>
      <c r="AC542" s="11"/>
      <c r="AD542" s="11"/>
      <c r="AE542" s="11"/>
      <c r="AF542" s="11"/>
      <c r="AG542" s="266"/>
      <c r="AH542" s="267"/>
      <c r="AI542" s="267"/>
    </row>
    <row r="543" spans="1:35" ht="42">
      <c r="A543" s="11"/>
      <c r="B543" s="208" t="s">
        <v>2075</v>
      </c>
      <c r="C543" s="11"/>
      <c r="D543" s="11"/>
      <c r="E543" s="11"/>
      <c r="F543" s="270"/>
      <c r="G543" s="11"/>
      <c r="H543" s="11"/>
      <c r="I543" s="11"/>
      <c r="J543" s="208" t="s">
        <v>71</v>
      </c>
      <c r="K543" s="11"/>
      <c r="L543" s="208">
        <v>1</v>
      </c>
      <c r="M543" s="208">
        <v>0</v>
      </c>
      <c r="N543" s="208">
        <v>0</v>
      </c>
      <c r="O543" s="11"/>
      <c r="P543" s="272">
        <v>43466</v>
      </c>
      <c r="Q543" s="263"/>
      <c r="R543" s="264"/>
      <c r="S543" s="264"/>
      <c r="T543" s="264"/>
      <c r="U543" s="208" t="s">
        <v>90</v>
      </c>
      <c r="V543" s="11"/>
      <c r="W543" s="11"/>
      <c r="X543" s="11"/>
      <c r="Y543" s="11"/>
      <c r="Z543" s="11"/>
      <c r="AA543" s="11"/>
      <c r="AB543" s="265"/>
      <c r="AC543" s="11"/>
      <c r="AD543" s="11"/>
      <c r="AE543" s="11"/>
      <c r="AF543" s="11"/>
      <c r="AG543" s="266"/>
      <c r="AH543" s="267"/>
      <c r="AI543" s="267"/>
    </row>
    <row r="544" spans="1:35" ht="56">
      <c r="A544" s="11"/>
      <c r="B544" s="208" t="s">
        <v>2076</v>
      </c>
      <c r="C544" s="11"/>
      <c r="D544" s="11"/>
      <c r="E544" s="11"/>
      <c r="F544" s="270"/>
      <c r="G544" s="11"/>
      <c r="H544" s="11"/>
      <c r="I544" s="11"/>
      <c r="J544" s="208" t="s">
        <v>71</v>
      </c>
      <c r="K544" s="11"/>
      <c r="L544" s="208">
        <v>1</v>
      </c>
      <c r="M544" s="208">
        <v>0</v>
      </c>
      <c r="N544" s="208">
        <v>0</v>
      </c>
      <c r="O544" s="11"/>
      <c r="P544" s="272">
        <v>43466</v>
      </c>
      <c r="Q544" s="263"/>
      <c r="R544" s="264"/>
      <c r="S544" s="264"/>
      <c r="T544" s="264"/>
      <c r="U544" s="208" t="s">
        <v>90</v>
      </c>
      <c r="V544" s="11"/>
      <c r="W544" s="11"/>
      <c r="X544" s="11"/>
      <c r="Y544" s="11"/>
      <c r="Z544" s="11"/>
      <c r="AA544" s="11"/>
      <c r="AB544" s="265"/>
      <c r="AC544" s="11"/>
      <c r="AD544" s="11"/>
      <c r="AE544" s="11"/>
      <c r="AF544" s="11"/>
      <c r="AG544" s="266"/>
      <c r="AH544" s="267"/>
      <c r="AI544" s="267"/>
    </row>
    <row r="545" spans="1:35" ht="70">
      <c r="A545" s="11"/>
      <c r="B545" s="208" t="s">
        <v>2077</v>
      </c>
      <c r="C545" s="11"/>
      <c r="D545" s="11"/>
      <c r="E545" s="11"/>
      <c r="F545" s="270"/>
      <c r="G545" s="11"/>
      <c r="H545" s="11"/>
      <c r="I545" s="11"/>
      <c r="J545" s="208" t="s">
        <v>71</v>
      </c>
      <c r="K545" s="11"/>
      <c r="L545" s="208">
        <v>1</v>
      </c>
      <c r="M545" s="208">
        <v>0</v>
      </c>
      <c r="N545" s="208">
        <v>0</v>
      </c>
      <c r="O545" s="11"/>
      <c r="P545" s="272">
        <v>43466</v>
      </c>
      <c r="Q545" s="263"/>
      <c r="R545" s="264"/>
      <c r="S545" s="264"/>
      <c r="T545" s="264"/>
      <c r="U545" s="208" t="s">
        <v>90</v>
      </c>
      <c r="V545" s="11"/>
      <c r="W545" s="11"/>
      <c r="X545" s="11"/>
      <c r="Y545" s="11"/>
      <c r="Z545" s="11"/>
      <c r="AA545" s="11"/>
      <c r="AB545" s="265"/>
      <c r="AC545" s="11"/>
      <c r="AD545" s="11"/>
      <c r="AE545" s="11"/>
      <c r="AF545" s="11"/>
      <c r="AG545" s="266"/>
      <c r="AH545" s="267"/>
      <c r="AI545" s="267"/>
    </row>
    <row r="546" spans="1:35" ht="28">
      <c r="A546" s="11"/>
      <c r="B546" s="208" t="s">
        <v>2078</v>
      </c>
      <c r="C546" s="11"/>
      <c r="D546" s="11"/>
      <c r="E546" s="11"/>
      <c r="F546" s="270"/>
      <c r="G546" s="11"/>
      <c r="H546" s="11"/>
      <c r="I546" s="11"/>
      <c r="J546" s="208" t="s">
        <v>71</v>
      </c>
      <c r="K546" s="11"/>
      <c r="L546" s="208">
        <v>1</v>
      </c>
      <c r="M546" s="208">
        <v>0</v>
      </c>
      <c r="N546" s="208">
        <v>0</v>
      </c>
      <c r="O546" s="11"/>
      <c r="P546" s="272">
        <v>43466</v>
      </c>
      <c r="Q546" s="263"/>
      <c r="R546" s="264"/>
      <c r="S546" s="264"/>
      <c r="T546" s="264"/>
      <c r="U546" s="208" t="s">
        <v>96</v>
      </c>
      <c r="V546" s="11"/>
      <c r="W546" s="11"/>
      <c r="X546" s="11"/>
      <c r="Y546" s="11"/>
      <c r="Z546" s="11"/>
      <c r="AA546" s="11"/>
      <c r="AB546" s="265"/>
      <c r="AC546" s="11"/>
      <c r="AD546" s="11"/>
      <c r="AE546" s="11"/>
      <c r="AF546" s="11"/>
      <c r="AG546" s="266"/>
      <c r="AH546" s="267"/>
      <c r="AI546" s="267"/>
    </row>
    <row r="547" spans="1:35" ht="42">
      <c r="A547" s="11"/>
      <c r="B547" s="208" t="s">
        <v>2079</v>
      </c>
      <c r="C547" s="11"/>
      <c r="D547" s="11"/>
      <c r="E547" s="11"/>
      <c r="F547" s="270"/>
      <c r="G547" s="11"/>
      <c r="H547" s="11"/>
      <c r="I547" s="11"/>
      <c r="J547" s="208" t="s">
        <v>71</v>
      </c>
      <c r="K547" s="11"/>
      <c r="L547" s="208">
        <v>1</v>
      </c>
      <c r="M547" s="208">
        <v>0</v>
      </c>
      <c r="N547" s="208">
        <v>0</v>
      </c>
      <c r="O547" s="11"/>
      <c r="P547" s="272">
        <v>43466</v>
      </c>
      <c r="Q547" s="263"/>
      <c r="R547" s="264"/>
      <c r="S547" s="264"/>
      <c r="T547" s="264"/>
      <c r="U547" s="208" t="s">
        <v>90</v>
      </c>
      <c r="V547" s="11"/>
      <c r="W547" s="11"/>
      <c r="X547" s="11"/>
      <c r="Y547" s="11"/>
      <c r="Z547" s="11"/>
      <c r="AA547" s="11"/>
      <c r="AB547" s="265"/>
      <c r="AC547" s="11"/>
      <c r="AD547" s="11"/>
      <c r="AE547" s="11"/>
      <c r="AF547" s="11"/>
      <c r="AG547" s="266"/>
      <c r="AH547" s="267"/>
      <c r="AI547" s="267"/>
    </row>
    <row r="548" spans="1:35" ht="28">
      <c r="A548" s="11"/>
      <c r="B548" s="208" t="s">
        <v>2080</v>
      </c>
      <c r="C548" s="11"/>
      <c r="D548" s="11"/>
      <c r="E548" s="11"/>
      <c r="F548" s="270"/>
      <c r="G548" s="11"/>
      <c r="H548" s="11"/>
      <c r="I548" s="11"/>
      <c r="J548" s="208" t="s">
        <v>71</v>
      </c>
      <c r="K548" s="11"/>
      <c r="L548" s="208">
        <v>1</v>
      </c>
      <c r="M548" s="208">
        <v>0</v>
      </c>
      <c r="N548" s="208">
        <v>0</v>
      </c>
      <c r="O548" s="11"/>
      <c r="P548" s="272">
        <v>43466</v>
      </c>
      <c r="Q548" s="263"/>
      <c r="R548" s="264"/>
      <c r="S548" s="264"/>
      <c r="T548" s="264"/>
      <c r="U548" s="208" t="s">
        <v>96</v>
      </c>
      <c r="V548" s="11"/>
      <c r="W548" s="11"/>
      <c r="X548" s="11"/>
      <c r="Y548" s="11"/>
      <c r="Z548" s="11"/>
      <c r="AA548" s="11"/>
      <c r="AB548" s="265"/>
      <c r="AC548" s="11"/>
      <c r="AD548" s="11"/>
      <c r="AE548" s="11"/>
      <c r="AF548" s="11"/>
      <c r="AG548" s="266"/>
      <c r="AH548" s="267"/>
      <c r="AI548" s="267"/>
    </row>
    <row r="549" spans="1:35" ht="56">
      <c r="A549" s="11"/>
      <c r="B549" s="208" t="s">
        <v>2083</v>
      </c>
      <c r="C549" s="11"/>
      <c r="D549" s="11"/>
      <c r="E549" s="11"/>
      <c r="F549" s="270"/>
      <c r="G549" s="11"/>
      <c r="H549" s="11"/>
      <c r="I549" s="11"/>
      <c r="J549" s="208" t="s">
        <v>71</v>
      </c>
      <c r="K549" s="11"/>
      <c r="L549" s="208">
        <v>1</v>
      </c>
      <c r="M549" s="208">
        <v>0</v>
      </c>
      <c r="N549" s="208">
        <v>0</v>
      </c>
      <c r="O549" s="11"/>
      <c r="P549" s="272">
        <v>43466</v>
      </c>
      <c r="Q549" s="263"/>
      <c r="R549" s="264"/>
      <c r="S549" s="264"/>
      <c r="T549" s="264"/>
      <c r="U549" s="208" t="s">
        <v>96</v>
      </c>
      <c r="V549" s="11"/>
      <c r="W549" s="11"/>
      <c r="X549" s="11"/>
      <c r="Y549" s="11"/>
      <c r="Z549" s="11"/>
      <c r="AA549" s="11"/>
      <c r="AB549" s="265"/>
      <c r="AC549" s="11"/>
      <c r="AD549" s="11"/>
      <c r="AE549" s="11"/>
      <c r="AF549" s="11"/>
      <c r="AG549" s="266"/>
      <c r="AH549" s="267"/>
      <c r="AI549" s="267"/>
    </row>
    <row r="550" spans="1:35" ht="28">
      <c r="A550" s="11"/>
      <c r="B550" s="208" t="s">
        <v>2084</v>
      </c>
      <c r="C550" s="11"/>
      <c r="D550" s="11"/>
      <c r="E550" s="11"/>
      <c r="F550" s="270"/>
      <c r="G550" s="11"/>
      <c r="H550" s="11"/>
      <c r="I550" s="11"/>
      <c r="J550" s="208" t="s">
        <v>71</v>
      </c>
      <c r="K550" s="11"/>
      <c r="L550" s="208">
        <v>1</v>
      </c>
      <c r="M550" s="208">
        <v>0</v>
      </c>
      <c r="N550" s="208">
        <v>0</v>
      </c>
      <c r="O550" s="11"/>
      <c r="P550" s="275">
        <v>43466</v>
      </c>
      <c r="Q550" s="208"/>
      <c r="R550" s="264"/>
      <c r="S550" s="264"/>
      <c r="T550" s="264"/>
      <c r="U550" s="208" t="s">
        <v>96</v>
      </c>
      <c r="V550" s="11"/>
      <c r="W550" s="11"/>
      <c r="X550" s="11"/>
      <c r="Y550" s="11"/>
      <c r="Z550" s="11"/>
      <c r="AA550" s="11"/>
      <c r="AB550" s="265"/>
      <c r="AC550" s="11"/>
      <c r="AD550" s="11"/>
      <c r="AE550" s="11"/>
      <c r="AF550" s="11"/>
      <c r="AG550" s="266"/>
      <c r="AH550" s="267"/>
      <c r="AI550" s="267"/>
    </row>
    <row r="551" spans="1:35" ht="56">
      <c r="A551" s="11"/>
      <c r="B551" s="208" t="s">
        <v>2085</v>
      </c>
      <c r="C551" s="11"/>
      <c r="D551" s="11"/>
      <c r="E551" s="11"/>
      <c r="F551" s="270"/>
      <c r="G551" s="11"/>
      <c r="H551" s="11"/>
      <c r="I551" s="11"/>
      <c r="J551" s="208" t="s">
        <v>71</v>
      </c>
      <c r="K551" s="11"/>
      <c r="L551" s="208">
        <v>1</v>
      </c>
      <c r="M551" s="208">
        <v>0</v>
      </c>
      <c r="N551" s="208">
        <v>0</v>
      </c>
      <c r="O551" s="11"/>
      <c r="P551" s="275">
        <v>43466</v>
      </c>
      <c r="Q551" s="263"/>
      <c r="R551" s="264"/>
      <c r="S551" s="264"/>
      <c r="T551" s="264"/>
      <c r="U551" s="208" t="s">
        <v>96</v>
      </c>
      <c r="V551" s="11"/>
      <c r="W551" s="11"/>
      <c r="X551" s="11"/>
      <c r="Y551" s="11"/>
      <c r="Z551" s="11"/>
      <c r="AA551" s="11"/>
      <c r="AB551" s="265"/>
      <c r="AC551" s="11"/>
      <c r="AD551" s="11"/>
      <c r="AE551" s="11"/>
      <c r="AF551" s="11"/>
      <c r="AG551" s="266"/>
      <c r="AH551" s="267"/>
      <c r="AI551" s="267"/>
    </row>
    <row r="552" spans="1:35" ht="28">
      <c r="A552" s="11"/>
      <c r="B552" s="208" t="s">
        <v>2086</v>
      </c>
      <c r="C552" s="11"/>
      <c r="D552" s="11"/>
      <c r="E552" s="11"/>
      <c r="F552" s="270"/>
      <c r="G552" s="11"/>
      <c r="H552" s="11"/>
      <c r="I552" s="11"/>
      <c r="J552" s="208" t="s">
        <v>71</v>
      </c>
      <c r="K552" s="11"/>
      <c r="L552" s="208">
        <v>1</v>
      </c>
      <c r="M552" s="208">
        <v>0</v>
      </c>
      <c r="N552" s="208">
        <v>0</v>
      </c>
      <c r="O552" s="11"/>
      <c r="P552" s="275">
        <v>43466</v>
      </c>
      <c r="Q552" s="263"/>
      <c r="R552" s="264"/>
      <c r="S552" s="264"/>
      <c r="T552" s="264"/>
      <c r="U552" s="208" t="s">
        <v>96</v>
      </c>
      <c r="V552" s="11"/>
      <c r="W552" s="11"/>
      <c r="X552" s="11"/>
      <c r="Y552" s="11"/>
      <c r="Z552" s="11"/>
      <c r="AA552" s="11"/>
      <c r="AB552" s="265"/>
      <c r="AC552" s="11"/>
      <c r="AD552" s="11"/>
      <c r="AE552" s="11"/>
      <c r="AF552" s="11"/>
      <c r="AG552" s="266"/>
      <c r="AH552" s="267"/>
      <c r="AI552" s="267"/>
    </row>
    <row r="553" spans="1:35" ht="42">
      <c r="A553" s="11"/>
      <c r="B553" s="208" t="s">
        <v>2087</v>
      </c>
      <c r="C553" s="11"/>
      <c r="D553" s="11"/>
      <c r="E553" s="11"/>
      <c r="F553" s="270"/>
      <c r="G553" s="11"/>
      <c r="H553" s="11"/>
      <c r="I553" s="11"/>
      <c r="J553" s="208" t="s">
        <v>71</v>
      </c>
      <c r="K553" s="11"/>
      <c r="L553" s="208">
        <v>1</v>
      </c>
      <c r="M553" s="208">
        <v>0</v>
      </c>
      <c r="N553" s="208">
        <v>0</v>
      </c>
      <c r="O553" s="11"/>
      <c r="P553" s="275">
        <v>43466</v>
      </c>
      <c r="Q553" s="263"/>
      <c r="R553" s="264"/>
      <c r="S553" s="264"/>
      <c r="T553" s="264"/>
      <c r="U553" s="208" t="s">
        <v>96</v>
      </c>
      <c r="V553" s="11"/>
      <c r="W553" s="11"/>
      <c r="X553" s="11"/>
      <c r="Y553" s="11"/>
      <c r="Z553" s="11"/>
      <c r="AA553" s="11"/>
      <c r="AB553" s="265"/>
      <c r="AC553" s="11"/>
      <c r="AD553" s="11"/>
      <c r="AE553" s="11"/>
      <c r="AF553" s="11"/>
      <c r="AG553" s="266"/>
      <c r="AH553" s="267"/>
      <c r="AI553" s="267"/>
    </row>
    <row r="554" spans="1:35" ht="42">
      <c r="A554" s="11"/>
      <c r="B554" s="208" t="s">
        <v>2088</v>
      </c>
      <c r="C554" s="11"/>
      <c r="D554" s="11"/>
      <c r="E554" s="11"/>
      <c r="F554" s="270"/>
      <c r="G554" s="11"/>
      <c r="H554" s="11"/>
      <c r="I554" s="11"/>
      <c r="J554" s="208" t="s">
        <v>71</v>
      </c>
      <c r="K554" s="11"/>
      <c r="L554" s="208">
        <v>1</v>
      </c>
      <c r="M554" s="208">
        <v>0</v>
      </c>
      <c r="N554" s="208">
        <v>0</v>
      </c>
      <c r="O554" s="11"/>
      <c r="P554" s="275">
        <v>43466</v>
      </c>
      <c r="Q554" s="263"/>
      <c r="R554" s="264"/>
      <c r="S554" s="264"/>
      <c r="T554" s="264"/>
      <c r="U554" s="208" t="s">
        <v>96</v>
      </c>
      <c r="V554" s="11"/>
      <c r="W554" s="11"/>
      <c r="X554" s="11"/>
      <c r="Y554" s="11"/>
      <c r="Z554" s="11"/>
      <c r="AA554" s="11"/>
      <c r="AB554" s="265"/>
      <c r="AC554" s="11"/>
      <c r="AD554" s="11"/>
      <c r="AE554" s="11"/>
      <c r="AF554" s="11"/>
      <c r="AG554" s="266"/>
      <c r="AH554" s="267"/>
      <c r="AI554" s="267"/>
    </row>
    <row r="555" spans="1:35" ht="28">
      <c r="A555" s="11"/>
      <c r="B555" s="208" t="s">
        <v>2091</v>
      </c>
      <c r="C555" s="11"/>
      <c r="D555" s="11"/>
      <c r="E555" s="11"/>
      <c r="F555" s="270"/>
      <c r="G555" s="11"/>
      <c r="H555" s="11"/>
      <c r="I555" s="11"/>
      <c r="J555" s="208" t="s">
        <v>71</v>
      </c>
      <c r="K555" s="11"/>
      <c r="L555" s="208">
        <v>1</v>
      </c>
      <c r="M555" s="208">
        <v>0</v>
      </c>
      <c r="N555" s="208">
        <v>0</v>
      </c>
      <c r="O555" s="11"/>
      <c r="P555" s="275">
        <v>43466</v>
      </c>
      <c r="Q555" s="263"/>
      <c r="R555" s="264"/>
      <c r="S555" s="264"/>
      <c r="T555" s="264"/>
      <c r="U555" s="208" t="s">
        <v>96</v>
      </c>
      <c r="V555" s="11"/>
      <c r="W555" s="11"/>
      <c r="X555" s="11"/>
      <c r="Y555" s="11"/>
      <c r="Z555" s="11"/>
      <c r="AA555" s="11"/>
      <c r="AB555" s="265"/>
      <c r="AC555" s="11"/>
      <c r="AD555" s="11"/>
      <c r="AE555" s="11"/>
      <c r="AF555" s="11"/>
      <c r="AG555" s="266"/>
      <c r="AH555" s="267"/>
      <c r="AI555" s="267"/>
    </row>
    <row r="556" spans="1:35" ht="42">
      <c r="A556" s="11"/>
      <c r="B556" s="208" t="s">
        <v>2092</v>
      </c>
      <c r="C556" s="11"/>
      <c r="D556" s="11"/>
      <c r="E556" s="11"/>
      <c r="F556" s="270"/>
      <c r="G556" s="11"/>
      <c r="H556" s="11"/>
      <c r="I556" s="11"/>
      <c r="J556" s="208" t="s">
        <v>71</v>
      </c>
      <c r="K556" s="11"/>
      <c r="L556" s="208">
        <v>1</v>
      </c>
      <c r="M556" s="208">
        <v>0</v>
      </c>
      <c r="N556" s="208">
        <v>0</v>
      </c>
      <c r="O556" s="11"/>
      <c r="P556" s="275">
        <v>43466</v>
      </c>
      <c r="Q556" s="263"/>
      <c r="R556" s="264"/>
      <c r="S556" s="264"/>
      <c r="T556" s="264"/>
      <c r="U556" s="208" t="s">
        <v>90</v>
      </c>
      <c r="V556" s="11"/>
      <c r="W556" s="11"/>
      <c r="X556" s="11"/>
      <c r="Y556" s="11"/>
      <c r="Z556" s="11"/>
      <c r="AA556" s="11"/>
      <c r="AB556" s="265"/>
      <c r="AC556" s="11"/>
      <c r="AD556" s="11"/>
      <c r="AE556" s="11"/>
      <c r="AF556" s="11"/>
      <c r="AG556" s="266"/>
      <c r="AH556" s="267"/>
      <c r="AI556" s="267"/>
    </row>
    <row r="557" spans="1:35" ht="56">
      <c r="A557" s="11"/>
      <c r="B557" s="208" t="s">
        <v>2093</v>
      </c>
      <c r="C557" s="11"/>
      <c r="D557" s="11"/>
      <c r="E557" s="11"/>
      <c r="F557" s="270"/>
      <c r="G557" s="11"/>
      <c r="H557" s="11"/>
      <c r="I557" s="11"/>
      <c r="J557" s="208" t="s">
        <v>71</v>
      </c>
      <c r="K557" s="11"/>
      <c r="L557" s="208">
        <v>1</v>
      </c>
      <c r="M557" s="208">
        <v>0</v>
      </c>
      <c r="N557" s="208">
        <v>0</v>
      </c>
      <c r="O557" s="11"/>
      <c r="P557" s="275">
        <v>43466</v>
      </c>
      <c r="Q557" s="263"/>
      <c r="R557" s="264"/>
      <c r="S557" s="264"/>
      <c r="T557" s="264"/>
      <c r="U557" s="208" t="s">
        <v>96</v>
      </c>
      <c r="V557" s="11"/>
      <c r="W557" s="11"/>
      <c r="X557" s="11"/>
      <c r="Y557" s="11"/>
      <c r="Z557" s="11"/>
      <c r="AA557" s="11"/>
      <c r="AB557" s="265"/>
      <c r="AC557" s="11"/>
      <c r="AD557" s="11"/>
      <c r="AE557" s="11"/>
      <c r="AF557" s="11"/>
      <c r="AG557" s="266"/>
      <c r="AH557" s="267"/>
      <c r="AI557" s="267"/>
    </row>
    <row r="558" spans="1:35" ht="56">
      <c r="A558" s="11"/>
      <c r="B558" s="208" t="s">
        <v>2094</v>
      </c>
      <c r="C558" s="11"/>
      <c r="D558" s="11"/>
      <c r="E558" s="11"/>
      <c r="F558" s="270"/>
      <c r="G558" s="11"/>
      <c r="H558" s="11"/>
      <c r="I558" s="11"/>
      <c r="J558" s="208" t="s">
        <v>71</v>
      </c>
      <c r="K558" s="11"/>
      <c r="L558" s="208">
        <v>1</v>
      </c>
      <c r="M558" s="208">
        <v>0</v>
      </c>
      <c r="N558" s="208">
        <v>0</v>
      </c>
      <c r="O558" s="11"/>
      <c r="P558" s="275">
        <v>43466</v>
      </c>
      <c r="Q558" s="263"/>
      <c r="R558" s="264"/>
      <c r="S558" s="264"/>
      <c r="T558" s="264"/>
      <c r="U558" s="208" t="s">
        <v>96</v>
      </c>
      <c r="V558" s="11"/>
      <c r="W558" s="11"/>
      <c r="X558" s="11"/>
      <c r="Y558" s="11"/>
      <c r="Z558" s="11"/>
      <c r="AA558" s="11"/>
      <c r="AB558" s="265"/>
      <c r="AC558" s="11"/>
      <c r="AD558" s="11"/>
      <c r="AE558" s="11"/>
      <c r="AF558" s="11"/>
      <c r="AG558" s="266"/>
      <c r="AH558" s="267"/>
      <c r="AI558" s="267"/>
    </row>
    <row r="559" spans="1:35" ht="56">
      <c r="A559" s="11"/>
      <c r="B559" s="208" t="s">
        <v>2095</v>
      </c>
      <c r="C559" s="11"/>
      <c r="D559" s="11"/>
      <c r="E559" s="11"/>
      <c r="F559" s="270"/>
      <c r="G559" s="11"/>
      <c r="H559" s="11"/>
      <c r="I559" s="11"/>
      <c r="J559" s="208" t="s">
        <v>71</v>
      </c>
      <c r="K559" s="11"/>
      <c r="L559" s="208">
        <v>1</v>
      </c>
      <c r="M559" s="208">
        <v>0</v>
      </c>
      <c r="N559" s="208">
        <v>0</v>
      </c>
      <c r="O559" s="11"/>
      <c r="P559" s="275">
        <v>43466</v>
      </c>
      <c r="Q559" s="263"/>
      <c r="R559" s="264"/>
      <c r="S559" s="264"/>
      <c r="T559" s="264"/>
      <c r="U559" s="208" t="s">
        <v>96</v>
      </c>
      <c r="V559" s="11"/>
      <c r="W559" s="11"/>
      <c r="X559" s="11"/>
      <c r="Y559" s="11"/>
      <c r="Z559" s="11"/>
      <c r="AA559" s="11"/>
      <c r="AB559" s="265"/>
      <c r="AC559" s="11"/>
      <c r="AD559" s="11"/>
      <c r="AE559" s="11"/>
      <c r="AF559" s="11"/>
      <c r="AG559" s="266"/>
      <c r="AH559" s="267"/>
      <c r="AI559" s="267"/>
    </row>
    <row r="560" spans="1:35" ht="84">
      <c r="A560" s="11"/>
      <c r="B560" s="208" t="s">
        <v>2098</v>
      </c>
      <c r="C560" s="11"/>
      <c r="D560" s="11"/>
      <c r="E560" s="11"/>
      <c r="F560" s="270"/>
      <c r="G560" s="11"/>
      <c r="H560" s="11"/>
      <c r="I560" s="11"/>
      <c r="J560" s="208" t="s">
        <v>71</v>
      </c>
      <c r="K560" s="11"/>
      <c r="L560" s="208">
        <v>1</v>
      </c>
      <c r="M560" s="208">
        <v>0</v>
      </c>
      <c r="N560" s="208">
        <v>0</v>
      </c>
      <c r="O560" s="11"/>
      <c r="P560" s="275">
        <v>43466</v>
      </c>
      <c r="Q560" s="263"/>
      <c r="R560" s="264"/>
      <c r="S560" s="264"/>
      <c r="T560" s="264"/>
      <c r="U560" s="208" t="s">
        <v>96</v>
      </c>
      <c r="V560" s="11"/>
      <c r="W560" s="11"/>
      <c r="X560" s="11"/>
      <c r="Y560" s="11"/>
      <c r="Z560" s="11"/>
      <c r="AA560" s="11"/>
      <c r="AB560" s="265"/>
      <c r="AC560" s="11"/>
      <c r="AD560" s="11"/>
      <c r="AE560" s="11"/>
      <c r="AF560" s="11"/>
      <c r="AG560" s="266"/>
      <c r="AH560" s="267"/>
      <c r="AI560" s="267"/>
    </row>
    <row r="561" spans="1:35" ht="28">
      <c r="A561" s="11"/>
      <c r="B561" s="208" t="s">
        <v>2099</v>
      </c>
      <c r="C561" s="11"/>
      <c r="D561" s="11"/>
      <c r="E561" s="11"/>
      <c r="F561" s="270"/>
      <c r="G561" s="11"/>
      <c r="H561" s="11"/>
      <c r="I561" s="11"/>
      <c r="J561" s="208" t="s">
        <v>71</v>
      </c>
      <c r="K561" s="11"/>
      <c r="L561" s="208">
        <v>1</v>
      </c>
      <c r="M561" s="208">
        <v>0</v>
      </c>
      <c r="N561" s="208">
        <v>0</v>
      </c>
      <c r="O561" s="11"/>
      <c r="P561" s="275">
        <v>43466</v>
      </c>
      <c r="Q561" s="263"/>
      <c r="R561" s="264"/>
      <c r="S561" s="264"/>
      <c r="T561" s="264"/>
      <c r="U561" s="208" t="s">
        <v>90</v>
      </c>
      <c r="V561" s="11"/>
      <c r="W561" s="11"/>
      <c r="X561" s="11"/>
      <c r="Y561" s="11"/>
      <c r="Z561" s="11"/>
      <c r="AA561" s="11"/>
      <c r="AB561" s="265"/>
      <c r="AC561" s="11"/>
      <c r="AD561" s="11"/>
      <c r="AE561" s="11"/>
      <c r="AF561" s="11"/>
      <c r="AG561" s="266"/>
      <c r="AH561" s="267"/>
      <c r="AI561" s="267"/>
    </row>
    <row r="562" spans="1:35" ht="28">
      <c r="A562" s="11"/>
      <c r="B562" s="208" t="s">
        <v>2100</v>
      </c>
      <c r="C562" s="11"/>
      <c r="D562" s="11"/>
      <c r="E562" s="11"/>
      <c r="F562" s="270"/>
      <c r="G562" s="11"/>
      <c r="H562" s="11"/>
      <c r="I562" s="11"/>
      <c r="J562" s="208" t="s">
        <v>71</v>
      </c>
      <c r="K562" s="11"/>
      <c r="L562" s="208">
        <v>1</v>
      </c>
      <c r="M562" s="208">
        <v>0</v>
      </c>
      <c r="N562" s="208">
        <v>0</v>
      </c>
      <c r="O562" s="11"/>
      <c r="P562" s="275">
        <v>43466</v>
      </c>
      <c r="Q562" s="263"/>
      <c r="R562" s="264"/>
      <c r="S562" s="264"/>
      <c r="T562" s="264"/>
      <c r="U562" s="208" t="s">
        <v>90</v>
      </c>
      <c r="V562" s="11"/>
      <c r="W562" s="11"/>
      <c r="X562" s="11"/>
      <c r="Y562" s="11"/>
      <c r="Z562" s="11"/>
      <c r="AA562" s="11"/>
      <c r="AB562" s="265"/>
      <c r="AC562" s="11"/>
      <c r="AD562" s="11"/>
      <c r="AE562" s="11"/>
      <c r="AF562" s="11"/>
      <c r="AG562" s="266"/>
      <c r="AH562" s="267"/>
      <c r="AI562" s="267"/>
    </row>
    <row r="563" spans="1:35" ht="28">
      <c r="A563" s="11"/>
      <c r="B563" s="208" t="s">
        <v>2101</v>
      </c>
      <c r="C563" s="11"/>
      <c r="D563" s="11"/>
      <c r="E563" s="11"/>
      <c r="F563" s="270"/>
      <c r="G563" s="11"/>
      <c r="H563" s="11"/>
      <c r="I563" s="11"/>
      <c r="J563" s="208" t="s">
        <v>71</v>
      </c>
      <c r="K563" s="11"/>
      <c r="L563" s="208">
        <v>1</v>
      </c>
      <c r="M563" s="208">
        <v>0</v>
      </c>
      <c r="N563" s="208">
        <v>0</v>
      </c>
      <c r="O563" s="11"/>
      <c r="P563" s="275">
        <v>43466</v>
      </c>
      <c r="Q563" s="263"/>
      <c r="R563" s="264"/>
      <c r="S563" s="264"/>
      <c r="T563" s="264"/>
      <c r="U563" s="208" t="s">
        <v>90</v>
      </c>
      <c r="V563" s="11"/>
      <c r="W563" s="11"/>
      <c r="X563" s="11"/>
      <c r="Y563" s="11"/>
      <c r="Z563" s="11"/>
      <c r="AA563" s="11"/>
      <c r="AB563" s="265"/>
      <c r="AC563" s="11"/>
      <c r="AD563" s="11"/>
      <c r="AE563" s="11"/>
      <c r="AF563" s="11"/>
      <c r="AG563" s="266"/>
      <c r="AH563" s="267"/>
      <c r="AI563" s="267"/>
    </row>
    <row r="564" spans="1:35" ht="42">
      <c r="A564" s="11"/>
      <c r="B564" s="208" t="s">
        <v>2102</v>
      </c>
      <c r="C564" s="11"/>
      <c r="D564" s="11"/>
      <c r="E564" s="11"/>
      <c r="F564" s="270"/>
      <c r="G564" s="11"/>
      <c r="H564" s="11"/>
      <c r="I564" s="11"/>
      <c r="J564" s="208" t="s">
        <v>71</v>
      </c>
      <c r="K564" s="11"/>
      <c r="L564" s="208">
        <v>1</v>
      </c>
      <c r="M564" s="208">
        <v>0</v>
      </c>
      <c r="N564" s="208">
        <v>0</v>
      </c>
      <c r="O564" s="11"/>
      <c r="P564" s="275">
        <v>43466</v>
      </c>
      <c r="Q564" s="263"/>
      <c r="R564" s="264"/>
      <c r="S564" s="264"/>
      <c r="T564" s="264"/>
      <c r="U564" s="208" t="s">
        <v>90</v>
      </c>
      <c r="V564" s="11"/>
      <c r="W564" s="11"/>
      <c r="X564" s="11"/>
      <c r="Y564" s="11"/>
      <c r="Z564" s="11"/>
      <c r="AA564" s="11"/>
      <c r="AB564" s="265"/>
      <c r="AC564" s="11"/>
      <c r="AD564" s="11"/>
      <c r="AE564" s="11"/>
      <c r="AF564" s="11"/>
      <c r="AG564" s="266"/>
      <c r="AH564" s="267"/>
      <c r="AI564" s="267"/>
    </row>
    <row r="565" spans="1:35" ht="28">
      <c r="A565" s="11"/>
      <c r="B565" s="208" t="s">
        <v>2103</v>
      </c>
      <c r="C565" s="11"/>
      <c r="D565" s="11"/>
      <c r="E565" s="11"/>
      <c r="F565" s="270"/>
      <c r="G565" s="11"/>
      <c r="H565" s="11"/>
      <c r="I565" s="11"/>
      <c r="J565" s="208" t="s">
        <v>71</v>
      </c>
      <c r="K565" s="11"/>
      <c r="L565" s="208">
        <v>1</v>
      </c>
      <c r="M565" s="208">
        <v>0</v>
      </c>
      <c r="N565" s="208">
        <v>0</v>
      </c>
      <c r="O565" s="11"/>
      <c r="P565" s="275">
        <v>43466</v>
      </c>
      <c r="Q565" s="263"/>
      <c r="R565" s="264"/>
      <c r="S565" s="264"/>
      <c r="T565" s="264"/>
      <c r="U565" s="208" t="s">
        <v>96</v>
      </c>
      <c r="V565" s="11"/>
      <c r="W565" s="11"/>
      <c r="X565" s="11"/>
      <c r="Y565" s="11"/>
      <c r="Z565" s="11"/>
      <c r="AA565" s="11"/>
      <c r="AB565" s="265"/>
      <c r="AC565" s="11"/>
      <c r="AD565" s="11"/>
      <c r="AE565" s="11"/>
      <c r="AF565" s="11"/>
      <c r="AG565" s="266"/>
      <c r="AH565" s="267"/>
      <c r="AI565" s="267"/>
    </row>
    <row r="566" spans="1:35" ht="70">
      <c r="A566" s="246" t="s">
        <v>1728</v>
      </c>
      <c r="B566" s="192" t="s">
        <v>2106</v>
      </c>
      <c r="C566" s="244"/>
      <c r="D566" s="84"/>
      <c r="E566" s="84"/>
      <c r="F566" s="193"/>
      <c r="G566" s="84"/>
      <c r="H566" s="84"/>
      <c r="I566" s="84"/>
      <c r="J566" s="244"/>
      <c r="K566" s="84"/>
      <c r="L566" s="244"/>
      <c r="M566" s="244"/>
      <c r="N566" s="244"/>
      <c r="O566" s="84"/>
      <c r="P566" s="85"/>
      <c r="Q566" s="85"/>
      <c r="R566" s="245"/>
      <c r="S566" s="86"/>
      <c r="T566" s="86"/>
      <c r="U566" s="84"/>
      <c r="V566" s="84"/>
      <c r="W566" s="84"/>
      <c r="X566" s="84"/>
      <c r="Y566" s="84"/>
      <c r="Z566" s="84"/>
      <c r="AA566" s="194"/>
      <c r="AB566" s="195"/>
      <c r="AC566" s="84"/>
      <c r="AD566" s="84"/>
      <c r="AE566" s="84"/>
      <c r="AF566" s="8"/>
      <c r="AG566" s="33"/>
      <c r="AH566" s="34"/>
      <c r="AI566" s="35"/>
    </row>
    <row r="567" spans="1:35" ht="13">
      <c r="A567" s="11"/>
      <c r="B567" s="11"/>
      <c r="C567" s="11"/>
      <c r="D567" s="11"/>
      <c r="E567" s="11"/>
      <c r="F567" s="270"/>
      <c r="G567" s="11"/>
      <c r="H567" s="11"/>
      <c r="I567" s="11"/>
      <c r="J567" s="11"/>
      <c r="K567" s="11"/>
      <c r="L567" s="11"/>
      <c r="M567" s="11"/>
      <c r="N567" s="11"/>
      <c r="O567" s="11"/>
      <c r="P567" s="263"/>
      <c r="Q567" s="263"/>
      <c r="R567" s="264"/>
      <c r="S567" s="264"/>
      <c r="T567" s="264"/>
      <c r="U567" s="11"/>
      <c r="V567" s="11"/>
      <c r="W567" s="11"/>
      <c r="X567" s="11"/>
      <c r="Y567" s="11"/>
      <c r="Z567" s="11"/>
      <c r="AA567" s="11"/>
      <c r="AB567" s="265"/>
      <c r="AC567" s="11"/>
      <c r="AD567" s="11"/>
      <c r="AE567" s="11"/>
      <c r="AF567" s="11"/>
      <c r="AG567" s="266"/>
      <c r="AH567" s="267"/>
      <c r="AI567" s="267"/>
    </row>
    <row r="568" spans="1:35" ht="13">
      <c r="A568" s="11"/>
      <c r="B568" s="11"/>
      <c r="C568" s="11"/>
      <c r="D568" s="11"/>
      <c r="E568" s="11"/>
      <c r="F568" s="270"/>
      <c r="G568" s="11"/>
      <c r="H568" s="11"/>
      <c r="I568" s="11"/>
      <c r="J568" s="11"/>
      <c r="K568" s="11"/>
      <c r="L568" s="11"/>
      <c r="M568" s="11"/>
      <c r="N568" s="11"/>
      <c r="O568" s="11"/>
      <c r="P568" s="263"/>
      <c r="Q568" s="263"/>
      <c r="R568" s="264"/>
      <c r="S568" s="264"/>
      <c r="T568" s="264"/>
      <c r="U568" s="11"/>
      <c r="V568" s="11"/>
      <c r="W568" s="11"/>
      <c r="X568" s="11"/>
      <c r="Y568" s="11"/>
      <c r="Z568" s="11"/>
      <c r="AA568" s="11"/>
      <c r="AB568" s="265"/>
      <c r="AC568" s="11"/>
      <c r="AD568" s="11"/>
      <c r="AE568" s="11"/>
      <c r="AF568" s="11"/>
      <c r="AG568" s="266"/>
      <c r="AH568" s="267"/>
      <c r="AI568" s="267"/>
    </row>
    <row r="569" spans="1:35" ht="14">
      <c r="A569" s="246" t="s">
        <v>1728</v>
      </c>
      <c r="B569" s="192" t="s">
        <v>2107</v>
      </c>
      <c r="C569" s="244"/>
      <c r="D569" s="84"/>
      <c r="E569" s="84"/>
      <c r="F569" s="193"/>
      <c r="G569" s="84"/>
      <c r="H569" s="84"/>
      <c r="I569" s="84"/>
      <c r="J569" s="244"/>
      <c r="K569" s="84"/>
      <c r="L569" s="244"/>
      <c r="M569" s="244"/>
      <c r="N569" s="244"/>
      <c r="O569" s="84"/>
      <c r="P569" s="85"/>
      <c r="Q569" s="85"/>
      <c r="R569" s="245"/>
      <c r="S569" s="86"/>
      <c r="T569" s="86"/>
      <c r="U569" s="84"/>
      <c r="V569" s="84"/>
      <c r="W569" s="84"/>
      <c r="X569" s="84"/>
      <c r="Y569" s="84"/>
      <c r="Z569" s="84"/>
      <c r="AA569" s="194"/>
      <c r="AB569" s="195"/>
      <c r="AC569" s="84"/>
      <c r="AD569" s="84"/>
      <c r="AE569" s="84"/>
      <c r="AF569" s="8"/>
      <c r="AG569" s="33"/>
      <c r="AH569" s="34"/>
      <c r="AI569" s="35"/>
    </row>
    <row r="570" spans="1:35" ht="26">
      <c r="A570" s="11"/>
      <c r="B570" s="277" t="s">
        <v>1265</v>
      </c>
      <c r="C570" s="10" t="s">
        <v>1266</v>
      </c>
      <c r="D570" s="11"/>
      <c r="E570" s="11"/>
      <c r="F570" s="270"/>
      <c r="G570" s="11"/>
      <c r="H570" s="11"/>
      <c r="I570" s="11"/>
      <c r="J570" s="208" t="s">
        <v>71</v>
      </c>
      <c r="K570" s="11"/>
      <c r="L570" s="11"/>
      <c r="M570" s="11"/>
      <c r="N570" s="11"/>
      <c r="O570" s="11"/>
      <c r="P570" s="263"/>
      <c r="Q570" s="263"/>
      <c r="R570" s="264"/>
      <c r="S570" s="264"/>
      <c r="T570" s="264"/>
      <c r="U570" s="11"/>
      <c r="V570" s="11"/>
      <c r="W570" s="11"/>
      <c r="X570" s="11"/>
      <c r="Y570" s="11"/>
      <c r="Z570" s="11"/>
      <c r="AA570" s="11"/>
      <c r="AB570" s="265"/>
      <c r="AC570" s="11"/>
      <c r="AD570" s="11"/>
      <c r="AE570" s="11"/>
      <c r="AF570" s="11"/>
      <c r="AG570" s="266"/>
      <c r="AH570" s="267"/>
      <c r="AI570" s="267"/>
    </row>
    <row r="571" spans="1:35" ht="91">
      <c r="A571" s="11"/>
      <c r="B571" s="277" t="s">
        <v>1269</v>
      </c>
      <c r="C571" s="10" t="s">
        <v>1270</v>
      </c>
      <c r="D571" s="11"/>
      <c r="E571" s="11"/>
      <c r="F571" s="270"/>
      <c r="G571" s="11"/>
      <c r="H571" s="11"/>
      <c r="I571" s="11"/>
      <c r="J571" s="208" t="s">
        <v>71</v>
      </c>
      <c r="K571" s="11"/>
      <c r="L571" s="11"/>
      <c r="M571" s="11"/>
      <c r="N571" s="11"/>
      <c r="O571" s="11"/>
      <c r="P571" s="263"/>
      <c r="Q571" s="263"/>
      <c r="R571" s="264"/>
      <c r="S571" s="264"/>
      <c r="T571" s="264"/>
      <c r="U571" s="11"/>
      <c r="V571" s="11"/>
      <c r="W571" s="11"/>
      <c r="X571" s="11"/>
      <c r="Y571" s="11"/>
      <c r="Z571" s="11"/>
      <c r="AA571" s="11"/>
      <c r="AB571" s="265"/>
      <c r="AC571" s="11"/>
      <c r="AD571" s="11"/>
      <c r="AE571" s="11"/>
      <c r="AF571" s="11"/>
      <c r="AG571" s="266"/>
      <c r="AH571" s="267"/>
      <c r="AI571" s="267"/>
    </row>
    <row r="572" spans="1:35" ht="78">
      <c r="A572" s="11"/>
      <c r="B572" s="277" t="s">
        <v>1272</v>
      </c>
      <c r="C572" s="10" t="s">
        <v>1273</v>
      </c>
      <c r="D572" s="11"/>
      <c r="E572" s="11"/>
      <c r="F572" s="270"/>
      <c r="G572" s="11"/>
      <c r="H572" s="11"/>
      <c r="I572" s="11"/>
      <c r="J572" s="208" t="s">
        <v>71</v>
      </c>
      <c r="K572" s="11"/>
      <c r="L572" s="11"/>
      <c r="M572" s="11"/>
      <c r="N572" s="11"/>
      <c r="O572" s="11"/>
      <c r="P572" s="263"/>
      <c r="Q572" s="263"/>
      <c r="R572" s="264"/>
      <c r="S572" s="264"/>
      <c r="T572" s="264"/>
      <c r="U572" s="11"/>
      <c r="V572" s="11"/>
      <c r="W572" s="11"/>
      <c r="X572" s="11"/>
      <c r="Y572" s="11"/>
      <c r="Z572" s="11"/>
      <c r="AA572" s="11"/>
      <c r="AB572" s="265"/>
      <c r="AC572" s="11"/>
      <c r="AD572" s="11"/>
      <c r="AE572" s="11"/>
      <c r="AF572" s="11"/>
      <c r="AG572" s="266"/>
      <c r="AH572" s="267"/>
      <c r="AI572" s="267"/>
    </row>
    <row r="573" spans="1:35" ht="52">
      <c r="A573" s="11"/>
      <c r="B573" s="277" t="s">
        <v>1281</v>
      </c>
      <c r="C573" s="10" t="s">
        <v>1282</v>
      </c>
      <c r="D573" s="11"/>
      <c r="E573" s="11"/>
      <c r="F573" s="270"/>
      <c r="G573" s="11"/>
      <c r="H573" s="11"/>
      <c r="I573" s="11"/>
      <c r="J573" s="208" t="s">
        <v>71</v>
      </c>
      <c r="K573" s="11"/>
      <c r="L573" s="11"/>
      <c r="M573" s="11"/>
      <c r="N573" s="11"/>
      <c r="O573" s="11"/>
      <c r="P573" s="263"/>
      <c r="Q573" s="263"/>
      <c r="R573" s="264"/>
      <c r="S573" s="264"/>
      <c r="T573" s="264"/>
      <c r="U573" s="11"/>
      <c r="V573" s="11"/>
      <c r="W573" s="11"/>
      <c r="X573" s="11"/>
      <c r="Y573" s="11"/>
      <c r="Z573" s="11"/>
      <c r="AA573" s="11"/>
      <c r="AB573" s="265"/>
      <c r="AC573" s="11"/>
      <c r="AD573" s="11"/>
      <c r="AE573" s="11"/>
      <c r="AF573" s="11"/>
      <c r="AG573" s="266"/>
      <c r="AH573" s="267"/>
      <c r="AI573" s="267"/>
    </row>
    <row r="574" spans="1:35" ht="26">
      <c r="A574" s="11"/>
      <c r="B574" s="277" t="s">
        <v>1288</v>
      </c>
      <c r="C574" s="10" t="s">
        <v>1289</v>
      </c>
      <c r="D574" s="11"/>
      <c r="E574" s="11"/>
      <c r="F574" s="270"/>
      <c r="G574" s="11"/>
      <c r="H574" s="11"/>
      <c r="I574" s="11"/>
      <c r="J574" s="208" t="s">
        <v>71</v>
      </c>
      <c r="K574" s="11"/>
      <c r="L574" s="11"/>
      <c r="M574" s="11"/>
      <c r="N574" s="11"/>
      <c r="O574" s="11"/>
      <c r="P574" s="263"/>
      <c r="Q574" s="263"/>
      <c r="R574" s="264"/>
      <c r="S574" s="264"/>
      <c r="T574" s="264"/>
      <c r="U574" s="11"/>
      <c r="V574" s="11"/>
      <c r="W574" s="11"/>
      <c r="X574" s="11"/>
      <c r="Y574" s="11"/>
      <c r="Z574" s="11"/>
      <c r="AA574" s="11"/>
      <c r="AB574" s="265"/>
      <c r="AC574" s="11"/>
      <c r="AD574" s="11"/>
      <c r="AE574" s="11"/>
      <c r="AF574" s="11"/>
      <c r="AG574" s="266"/>
      <c r="AH574" s="267"/>
      <c r="AI574" s="267"/>
    </row>
    <row r="575" spans="1:35" ht="52">
      <c r="A575" s="11"/>
      <c r="B575" s="277" t="s">
        <v>1297</v>
      </c>
      <c r="C575" s="10" t="s">
        <v>1299</v>
      </c>
      <c r="D575" s="11"/>
      <c r="E575" s="11"/>
      <c r="F575" s="270"/>
      <c r="G575" s="11"/>
      <c r="H575" s="11"/>
      <c r="I575" s="11"/>
      <c r="J575" s="208" t="s">
        <v>71</v>
      </c>
      <c r="K575" s="11"/>
      <c r="L575" s="11"/>
      <c r="M575" s="11"/>
      <c r="N575" s="11"/>
      <c r="O575" s="11"/>
      <c r="P575" s="263"/>
      <c r="Q575" s="263"/>
      <c r="R575" s="264"/>
      <c r="S575" s="264"/>
      <c r="T575" s="264"/>
      <c r="U575" s="11"/>
      <c r="V575" s="11"/>
      <c r="W575" s="11"/>
      <c r="X575" s="11"/>
      <c r="Y575" s="11"/>
      <c r="Z575" s="11"/>
      <c r="AA575" s="11"/>
      <c r="AB575" s="265"/>
      <c r="AC575" s="11"/>
      <c r="AD575" s="11"/>
      <c r="AE575" s="11"/>
      <c r="AF575" s="11"/>
      <c r="AG575" s="266"/>
      <c r="AH575" s="267"/>
      <c r="AI575" s="267"/>
    </row>
    <row r="576" spans="1:35" ht="65">
      <c r="A576" s="11"/>
      <c r="B576" s="277" t="s">
        <v>1308</v>
      </c>
      <c r="C576" s="10" t="s">
        <v>1309</v>
      </c>
      <c r="D576" s="11"/>
      <c r="E576" s="11"/>
      <c r="F576" s="270"/>
      <c r="G576" s="11"/>
      <c r="H576" s="11"/>
      <c r="I576" s="11"/>
      <c r="J576" s="208" t="s">
        <v>71</v>
      </c>
      <c r="K576" s="11"/>
      <c r="L576" s="11"/>
      <c r="M576" s="11"/>
      <c r="N576" s="11"/>
      <c r="O576" s="11"/>
      <c r="P576" s="263"/>
      <c r="Q576" s="263"/>
      <c r="R576" s="264"/>
      <c r="S576" s="264"/>
      <c r="T576" s="264"/>
      <c r="U576" s="11"/>
      <c r="V576" s="11"/>
      <c r="W576" s="11"/>
      <c r="X576" s="11"/>
      <c r="Y576" s="11"/>
      <c r="Z576" s="11"/>
      <c r="AA576" s="11"/>
      <c r="AB576" s="265"/>
      <c r="AC576" s="11"/>
      <c r="AD576" s="11"/>
      <c r="AE576" s="11"/>
      <c r="AF576" s="11"/>
      <c r="AG576" s="266"/>
      <c r="AH576" s="267"/>
      <c r="AI576" s="267"/>
    </row>
    <row r="577" spans="1:35" ht="78">
      <c r="A577" s="11"/>
      <c r="B577" s="277" t="s">
        <v>1312</v>
      </c>
      <c r="C577" s="10" t="s">
        <v>1313</v>
      </c>
      <c r="D577" s="11"/>
      <c r="E577" s="11"/>
      <c r="F577" s="270"/>
      <c r="G577" s="11"/>
      <c r="H577" s="11"/>
      <c r="I577" s="11"/>
      <c r="J577" s="208" t="s">
        <v>71</v>
      </c>
      <c r="K577" s="11"/>
      <c r="L577" s="11"/>
      <c r="M577" s="11"/>
      <c r="N577" s="11"/>
      <c r="O577" s="11"/>
      <c r="P577" s="263"/>
      <c r="Q577" s="263"/>
      <c r="R577" s="264"/>
      <c r="S577" s="264"/>
      <c r="T577" s="264"/>
      <c r="U577" s="11"/>
      <c r="V577" s="11"/>
      <c r="W577" s="11"/>
      <c r="X577" s="11"/>
      <c r="Y577" s="11"/>
      <c r="Z577" s="11"/>
      <c r="AA577" s="11"/>
      <c r="AB577" s="265"/>
      <c r="AC577" s="11"/>
      <c r="AD577" s="11"/>
      <c r="AE577" s="11"/>
      <c r="AF577" s="11"/>
      <c r="AG577" s="266"/>
      <c r="AH577" s="267"/>
      <c r="AI577" s="267"/>
    </row>
    <row r="578" spans="1:35" ht="266">
      <c r="A578" s="11"/>
      <c r="B578" s="277" t="s">
        <v>1321</v>
      </c>
      <c r="C578" s="10" t="s">
        <v>1321</v>
      </c>
      <c r="D578" s="11"/>
      <c r="E578" s="11"/>
      <c r="F578" s="270"/>
      <c r="G578" s="11"/>
      <c r="H578" s="11"/>
      <c r="I578" s="11"/>
      <c r="J578" s="208" t="s">
        <v>55</v>
      </c>
      <c r="K578" s="208" t="s">
        <v>1324</v>
      </c>
      <c r="L578" s="11"/>
      <c r="M578" s="11"/>
      <c r="N578" s="11"/>
      <c r="O578" s="11"/>
      <c r="P578" s="263"/>
      <c r="Q578" s="263"/>
      <c r="R578" s="264"/>
      <c r="S578" s="264"/>
      <c r="T578" s="264"/>
      <c r="U578" s="11"/>
      <c r="V578" s="11"/>
      <c r="W578" s="11"/>
      <c r="X578" s="11"/>
      <c r="Y578" s="11"/>
      <c r="Z578" s="11"/>
      <c r="AA578" s="11"/>
      <c r="AB578" s="265"/>
      <c r="AC578" s="11"/>
      <c r="AD578" s="11"/>
      <c r="AE578" s="11"/>
      <c r="AF578" s="11"/>
      <c r="AG578" s="266"/>
      <c r="AH578" s="267"/>
      <c r="AI578" s="267"/>
    </row>
    <row r="579" spans="1:35" ht="91">
      <c r="A579" s="11"/>
      <c r="B579" s="277" t="s">
        <v>1328</v>
      </c>
      <c r="C579" s="10" t="s">
        <v>1329</v>
      </c>
      <c r="D579" s="11"/>
      <c r="E579" s="11"/>
      <c r="F579" s="270"/>
      <c r="G579" s="11"/>
      <c r="H579" s="11"/>
      <c r="I579" s="11"/>
      <c r="J579" s="208" t="s">
        <v>71</v>
      </c>
      <c r="K579" s="11"/>
      <c r="L579" s="11"/>
      <c r="M579" s="11"/>
      <c r="N579" s="11"/>
      <c r="O579" s="11"/>
      <c r="P579" s="263"/>
      <c r="Q579" s="263"/>
      <c r="R579" s="264"/>
      <c r="S579" s="264"/>
      <c r="T579" s="264"/>
      <c r="U579" s="11"/>
      <c r="V579" s="11"/>
      <c r="W579" s="11"/>
      <c r="X579" s="11"/>
      <c r="Y579" s="11"/>
      <c r="Z579" s="11"/>
      <c r="AA579" s="11"/>
      <c r="AB579" s="265"/>
      <c r="AC579" s="11"/>
      <c r="AD579" s="11"/>
      <c r="AE579" s="11"/>
      <c r="AF579" s="11"/>
      <c r="AG579" s="266"/>
      <c r="AH579" s="267"/>
      <c r="AI579" s="267"/>
    </row>
    <row r="580" spans="1:35" ht="52">
      <c r="A580" s="11"/>
      <c r="B580" s="277" t="s">
        <v>1331</v>
      </c>
      <c r="C580" s="10" t="s">
        <v>1332</v>
      </c>
      <c r="D580" s="11"/>
      <c r="E580" s="11"/>
      <c r="F580" s="270"/>
      <c r="G580" s="11"/>
      <c r="H580" s="11"/>
      <c r="I580" s="11"/>
      <c r="J580" s="208" t="s">
        <v>71</v>
      </c>
      <c r="K580" s="11"/>
      <c r="L580" s="11"/>
      <c r="M580" s="11"/>
      <c r="N580" s="11"/>
      <c r="O580" s="11"/>
      <c r="P580" s="263"/>
      <c r="Q580" s="263"/>
      <c r="R580" s="264"/>
      <c r="S580" s="264"/>
      <c r="T580" s="264"/>
      <c r="U580" s="11"/>
      <c r="V580" s="11"/>
      <c r="W580" s="11"/>
      <c r="X580" s="11"/>
      <c r="Y580" s="11"/>
      <c r="Z580" s="11"/>
      <c r="AA580" s="11"/>
      <c r="AB580" s="265"/>
      <c r="AC580" s="11"/>
      <c r="AD580" s="11"/>
      <c r="AE580" s="11"/>
      <c r="AF580" s="11"/>
      <c r="AG580" s="266"/>
      <c r="AH580" s="267"/>
      <c r="AI580" s="267"/>
    </row>
    <row r="581" spans="1:35" ht="112">
      <c r="A581" s="11"/>
      <c r="B581" s="277" t="s">
        <v>1342</v>
      </c>
      <c r="C581" s="10" t="s">
        <v>1343</v>
      </c>
      <c r="D581" s="11"/>
      <c r="E581" s="11"/>
      <c r="F581" s="270"/>
      <c r="G581" s="11"/>
      <c r="H581" s="11"/>
      <c r="I581" s="11"/>
      <c r="J581" s="208" t="s">
        <v>55</v>
      </c>
      <c r="K581" s="208" t="s">
        <v>1346</v>
      </c>
      <c r="L581" s="11"/>
      <c r="M581" s="11"/>
      <c r="N581" s="11"/>
      <c r="O581" s="11"/>
      <c r="P581" s="263"/>
      <c r="Q581" s="263"/>
      <c r="R581" s="264"/>
      <c r="S581" s="264"/>
      <c r="T581" s="264"/>
      <c r="U581" s="11"/>
      <c r="V581" s="11"/>
      <c r="W581" s="11"/>
      <c r="X581" s="11"/>
      <c r="Y581" s="11"/>
      <c r="Z581" s="11"/>
      <c r="AA581" s="11"/>
      <c r="AB581" s="265"/>
      <c r="AC581" s="11"/>
      <c r="AD581" s="11"/>
      <c r="AE581" s="11"/>
      <c r="AF581" s="11"/>
      <c r="AG581" s="266"/>
      <c r="AH581" s="267"/>
      <c r="AI581" s="267"/>
    </row>
    <row r="582" spans="1:35" ht="52">
      <c r="A582" s="11"/>
      <c r="B582" s="277" t="s">
        <v>1350</v>
      </c>
      <c r="C582" s="10" t="s">
        <v>1351</v>
      </c>
      <c r="D582" s="11"/>
      <c r="E582" s="11"/>
      <c r="F582" s="270"/>
      <c r="G582" s="11"/>
      <c r="H582" s="11"/>
      <c r="I582" s="11"/>
      <c r="J582" s="208" t="s">
        <v>71</v>
      </c>
      <c r="K582" s="11"/>
      <c r="L582" s="11"/>
      <c r="M582" s="11"/>
      <c r="N582" s="11"/>
      <c r="O582" s="11"/>
      <c r="P582" s="263"/>
      <c r="Q582" s="263"/>
      <c r="R582" s="264"/>
      <c r="S582" s="264"/>
      <c r="T582" s="264"/>
      <c r="U582" s="11"/>
      <c r="V582" s="11"/>
      <c r="W582" s="11"/>
      <c r="X582" s="11"/>
      <c r="Y582" s="11"/>
      <c r="Z582" s="11"/>
      <c r="AA582" s="11"/>
      <c r="AB582" s="265"/>
      <c r="AC582" s="11"/>
      <c r="AD582" s="11"/>
      <c r="AE582" s="11"/>
      <c r="AF582" s="11"/>
      <c r="AG582" s="266"/>
      <c r="AH582" s="267"/>
      <c r="AI582" s="267"/>
    </row>
    <row r="583" spans="1:35" ht="78">
      <c r="A583" s="11"/>
      <c r="B583" s="277" t="s">
        <v>1357</v>
      </c>
      <c r="C583" s="10" t="s">
        <v>1358</v>
      </c>
      <c r="D583" s="11"/>
      <c r="E583" s="11"/>
      <c r="F583" s="270"/>
      <c r="G583" s="11"/>
      <c r="H583" s="11"/>
      <c r="I583" s="11"/>
      <c r="J583" s="208" t="s">
        <v>71</v>
      </c>
      <c r="K583" s="11"/>
      <c r="L583" s="11"/>
      <c r="M583" s="11"/>
      <c r="N583" s="11"/>
      <c r="O583" s="11"/>
      <c r="P583" s="263"/>
      <c r="Q583" s="263"/>
      <c r="R583" s="264"/>
      <c r="S583" s="264"/>
      <c r="T583" s="264"/>
      <c r="U583" s="11"/>
      <c r="V583" s="11"/>
      <c r="W583" s="11"/>
      <c r="X583" s="11"/>
      <c r="Y583" s="11"/>
      <c r="Z583" s="11"/>
      <c r="AA583" s="11"/>
      <c r="AB583" s="265"/>
      <c r="AC583" s="11"/>
      <c r="AD583" s="11"/>
      <c r="AE583" s="11"/>
      <c r="AF583" s="11"/>
      <c r="AG583" s="266"/>
      <c r="AH583" s="267"/>
      <c r="AI583" s="267"/>
    </row>
    <row r="584" spans="1:35" ht="104">
      <c r="A584" s="11"/>
      <c r="B584" s="277" t="s">
        <v>1367</v>
      </c>
      <c r="C584" s="10" t="s">
        <v>1367</v>
      </c>
      <c r="D584" s="11"/>
      <c r="E584" s="11"/>
      <c r="F584" s="270"/>
      <c r="G584" s="11"/>
      <c r="H584" s="11"/>
      <c r="I584" s="11"/>
      <c r="J584" s="208" t="s">
        <v>71</v>
      </c>
      <c r="K584" s="11"/>
      <c r="L584" s="11"/>
      <c r="M584" s="11"/>
      <c r="N584" s="11"/>
      <c r="O584" s="11"/>
      <c r="P584" s="263"/>
      <c r="Q584" s="263"/>
      <c r="R584" s="264"/>
      <c r="S584" s="264"/>
      <c r="T584" s="264"/>
      <c r="U584" s="11"/>
      <c r="V584" s="11"/>
      <c r="W584" s="11"/>
      <c r="X584" s="11"/>
      <c r="Y584" s="11"/>
      <c r="Z584" s="11"/>
      <c r="AA584" s="11"/>
      <c r="AB584" s="265"/>
      <c r="AC584" s="11"/>
      <c r="AD584" s="11"/>
      <c r="AE584" s="11"/>
      <c r="AF584" s="11"/>
      <c r="AG584" s="266"/>
      <c r="AH584" s="267"/>
      <c r="AI584" s="267"/>
    </row>
    <row r="585" spans="1:35" ht="196">
      <c r="A585" s="11"/>
      <c r="B585" s="277" t="s">
        <v>1372</v>
      </c>
      <c r="C585" s="10" t="s">
        <v>1373</v>
      </c>
      <c r="D585" s="11"/>
      <c r="E585" s="11"/>
      <c r="F585" s="270"/>
      <c r="G585" s="11"/>
      <c r="H585" s="11"/>
      <c r="I585" s="11"/>
      <c r="J585" s="208" t="s">
        <v>67</v>
      </c>
      <c r="K585" s="208" t="s">
        <v>1376</v>
      </c>
      <c r="L585" s="11"/>
      <c r="M585" s="11"/>
      <c r="N585" s="11"/>
      <c r="O585" s="11"/>
      <c r="P585" s="263"/>
      <c r="Q585" s="263"/>
      <c r="R585" s="264"/>
      <c r="S585" s="264"/>
      <c r="T585" s="264"/>
      <c r="U585" s="11"/>
      <c r="V585" s="11"/>
      <c r="W585" s="11"/>
      <c r="X585" s="11"/>
      <c r="Y585" s="11"/>
      <c r="Z585" s="11"/>
      <c r="AA585" s="11"/>
      <c r="AB585" s="265"/>
      <c r="AC585" s="11"/>
      <c r="AD585" s="11"/>
      <c r="AE585" s="11"/>
      <c r="AF585" s="11"/>
      <c r="AG585" s="266"/>
      <c r="AH585" s="267"/>
      <c r="AI585" s="267"/>
    </row>
    <row r="586" spans="1:35" ht="39">
      <c r="A586" s="11"/>
      <c r="B586" s="277" t="s">
        <v>1381</v>
      </c>
      <c r="C586" s="10" t="s">
        <v>1382</v>
      </c>
      <c r="D586" s="11"/>
      <c r="E586" s="11"/>
      <c r="F586" s="270"/>
      <c r="G586" s="11"/>
      <c r="H586" s="11"/>
      <c r="I586" s="11"/>
      <c r="J586" s="208" t="s">
        <v>71</v>
      </c>
      <c r="K586" s="11"/>
      <c r="L586" s="11"/>
      <c r="M586" s="11"/>
      <c r="N586" s="11"/>
      <c r="O586" s="11"/>
      <c r="P586" s="263"/>
      <c r="Q586" s="263"/>
      <c r="R586" s="264"/>
      <c r="S586" s="264"/>
      <c r="T586" s="264"/>
      <c r="U586" s="11"/>
      <c r="V586" s="11"/>
      <c r="W586" s="11"/>
      <c r="X586" s="11"/>
      <c r="Y586" s="11"/>
      <c r="Z586" s="11"/>
      <c r="AA586" s="11"/>
      <c r="AB586" s="265"/>
      <c r="AC586" s="11"/>
      <c r="AD586" s="11"/>
      <c r="AE586" s="11"/>
      <c r="AF586" s="11"/>
      <c r="AG586" s="266"/>
      <c r="AH586" s="267"/>
      <c r="AI586" s="267"/>
    </row>
    <row r="587" spans="1:35" ht="91">
      <c r="A587" s="11"/>
      <c r="B587" s="277" t="s">
        <v>1384</v>
      </c>
      <c r="C587" s="10" t="s">
        <v>1385</v>
      </c>
      <c r="D587" s="11"/>
      <c r="E587" s="11"/>
      <c r="F587" s="270"/>
      <c r="G587" s="11"/>
      <c r="H587" s="11"/>
      <c r="I587" s="11"/>
      <c r="J587" s="208" t="s">
        <v>71</v>
      </c>
      <c r="K587" s="11"/>
      <c r="L587" s="11"/>
      <c r="M587" s="11"/>
      <c r="N587" s="11"/>
      <c r="O587" s="11"/>
      <c r="P587" s="263"/>
      <c r="Q587" s="263"/>
      <c r="R587" s="264"/>
      <c r="S587" s="264"/>
      <c r="T587" s="264"/>
      <c r="U587" s="11"/>
      <c r="V587" s="11"/>
      <c r="W587" s="11"/>
      <c r="X587" s="11"/>
      <c r="Y587" s="11"/>
      <c r="Z587" s="11"/>
      <c r="AA587" s="11"/>
      <c r="AB587" s="265"/>
      <c r="AC587" s="11"/>
      <c r="AD587" s="11"/>
      <c r="AE587" s="11"/>
      <c r="AF587" s="11"/>
      <c r="AG587" s="266"/>
      <c r="AH587" s="267"/>
      <c r="AI587" s="267"/>
    </row>
    <row r="588" spans="1:35" ht="224">
      <c r="A588" s="11"/>
      <c r="B588" s="277" t="s">
        <v>1390</v>
      </c>
      <c r="C588" s="10" t="s">
        <v>1390</v>
      </c>
      <c r="D588" s="11"/>
      <c r="E588" s="11"/>
      <c r="F588" s="270"/>
      <c r="G588" s="11"/>
      <c r="H588" s="11"/>
      <c r="I588" s="11"/>
      <c r="J588" s="208" t="s">
        <v>67</v>
      </c>
      <c r="K588" s="208" t="s">
        <v>1392</v>
      </c>
      <c r="L588" s="11"/>
      <c r="M588" s="11"/>
      <c r="N588" s="11"/>
      <c r="O588" s="11"/>
      <c r="P588" s="263"/>
      <c r="Q588" s="263"/>
      <c r="R588" s="264"/>
      <c r="S588" s="264"/>
      <c r="T588" s="264"/>
      <c r="U588" s="11"/>
      <c r="V588" s="11"/>
      <c r="W588" s="11"/>
      <c r="X588" s="11"/>
      <c r="Y588" s="11"/>
      <c r="Z588" s="11"/>
      <c r="AA588" s="11"/>
      <c r="AB588" s="265"/>
      <c r="AC588" s="11"/>
      <c r="AD588" s="11"/>
      <c r="AE588" s="11"/>
      <c r="AF588" s="11"/>
      <c r="AG588" s="266"/>
      <c r="AH588" s="267"/>
      <c r="AI588" s="267"/>
    </row>
    <row r="589" spans="1:35" ht="91">
      <c r="A589" s="11"/>
      <c r="B589" s="277" t="s">
        <v>1394</v>
      </c>
      <c r="C589" s="10" t="s">
        <v>1394</v>
      </c>
      <c r="D589" s="11"/>
      <c r="E589" s="11"/>
      <c r="F589" s="270"/>
      <c r="G589" s="11"/>
      <c r="H589" s="11"/>
      <c r="I589" s="11"/>
      <c r="J589" s="208" t="s">
        <v>71</v>
      </c>
      <c r="K589" s="11"/>
      <c r="L589" s="11"/>
      <c r="M589" s="11"/>
      <c r="N589" s="11"/>
      <c r="O589" s="11"/>
      <c r="P589" s="263"/>
      <c r="Q589" s="263"/>
      <c r="R589" s="264"/>
      <c r="S589" s="264"/>
      <c r="T589" s="264"/>
      <c r="U589" s="11"/>
      <c r="V589" s="11"/>
      <c r="W589" s="11"/>
      <c r="X589" s="11"/>
      <c r="Y589" s="11"/>
      <c r="Z589" s="11"/>
      <c r="AA589" s="11"/>
      <c r="AB589" s="265"/>
      <c r="AC589" s="11"/>
      <c r="AD589" s="11"/>
      <c r="AE589" s="11"/>
      <c r="AF589" s="11"/>
      <c r="AG589" s="266"/>
      <c r="AH589" s="267"/>
      <c r="AI589" s="267"/>
    </row>
    <row r="590" spans="1:35" ht="39">
      <c r="A590" s="11"/>
      <c r="B590" s="277" t="s">
        <v>1407</v>
      </c>
      <c r="C590" s="10" t="s">
        <v>1408</v>
      </c>
      <c r="D590" s="11"/>
      <c r="E590" s="11"/>
      <c r="F590" s="270"/>
      <c r="G590" s="11"/>
      <c r="H590" s="11"/>
      <c r="I590" s="11"/>
      <c r="J590" s="208" t="s">
        <v>71</v>
      </c>
      <c r="K590" s="11"/>
      <c r="L590" s="11"/>
      <c r="M590" s="11"/>
      <c r="N590" s="11"/>
      <c r="O590" s="11"/>
      <c r="P590" s="263"/>
      <c r="Q590" s="263"/>
      <c r="R590" s="264"/>
      <c r="S590" s="264"/>
      <c r="T590" s="264"/>
      <c r="U590" s="11"/>
      <c r="V590" s="11"/>
      <c r="W590" s="11"/>
      <c r="X590" s="11"/>
      <c r="Y590" s="11"/>
      <c r="Z590" s="11"/>
      <c r="AA590" s="11"/>
      <c r="AB590" s="265"/>
      <c r="AC590" s="11"/>
      <c r="AD590" s="11"/>
      <c r="AE590" s="11"/>
      <c r="AF590" s="11"/>
      <c r="AG590" s="266"/>
      <c r="AH590" s="267"/>
      <c r="AI590" s="267"/>
    </row>
    <row r="591" spans="1:35" ht="39">
      <c r="A591" s="11"/>
      <c r="B591" s="277" t="s">
        <v>1417</v>
      </c>
      <c r="C591" s="10" t="s">
        <v>1417</v>
      </c>
      <c r="D591" s="11"/>
      <c r="E591" s="11"/>
      <c r="F591" s="270"/>
      <c r="G591" s="11"/>
      <c r="H591" s="11"/>
      <c r="I591" s="11"/>
      <c r="J591" s="208" t="s">
        <v>71</v>
      </c>
      <c r="K591" s="11"/>
      <c r="L591" s="11"/>
      <c r="M591" s="11"/>
      <c r="N591" s="11"/>
      <c r="O591" s="11"/>
      <c r="P591" s="263"/>
      <c r="Q591" s="263"/>
      <c r="R591" s="264"/>
      <c r="S591" s="264"/>
      <c r="T591" s="264"/>
      <c r="U591" s="11"/>
      <c r="V591" s="11"/>
      <c r="W591" s="11"/>
      <c r="X591" s="11"/>
      <c r="Y591" s="11"/>
      <c r="Z591" s="11"/>
      <c r="AA591" s="11"/>
      <c r="AB591" s="265"/>
      <c r="AC591" s="11"/>
      <c r="AD591" s="11"/>
      <c r="AE591" s="11"/>
      <c r="AF591" s="11"/>
      <c r="AG591" s="266"/>
      <c r="AH591" s="267"/>
      <c r="AI591" s="267"/>
    </row>
    <row r="592" spans="1:35" ht="140">
      <c r="A592" s="11"/>
      <c r="B592" s="277" t="s">
        <v>1423</v>
      </c>
      <c r="C592" s="10" t="s">
        <v>1423</v>
      </c>
      <c r="D592" s="11"/>
      <c r="E592" s="11"/>
      <c r="F592" s="270"/>
      <c r="G592" s="11"/>
      <c r="H592" s="11"/>
      <c r="I592" s="11"/>
      <c r="J592" s="208" t="s">
        <v>67</v>
      </c>
      <c r="K592" s="208" t="s">
        <v>1427</v>
      </c>
      <c r="L592" s="11"/>
      <c r="M592" s="11"/>
      <c r="N592" s="11"/>
      <c r="O592" s="11"/>
      <c r="P592" s="263"/>
      <c r="Q592" s="263"/>
      <c r="R592" s="264"/>
      <c r="S592" s="264"/>
      <c r="T592" s="264"/>
      <c r="U592" s="11"/>
      <c r="V592" s="11"/>
      <c r="W592" s="11"/>
      <c r="X592" s="11"/>
      <c r="Y592" s="11"/>
      <c r="Z592" s="11"/>
      <c r="AA592" s="11"/>
      <c r="AB592" s="265"/>
      <c r="AC592" s="11"/>
      <c r="AD592" s="11"/>
      <c r="AE592" s="11"/>
      <c r="AF592" s="11"/>
      <c r="AG592" s="266"/>
      <c r="AH592" s="267"/>
      <c r="AI592" s="267"/>
    </row>
    <row r="593" spans="1:35" ht="196">
      <c r="A593" s="11"/>
      <c r="B593" s="277" t="s">
        <v>1431</v>
      </c>
      <c r="C593" s="10" t="s">
        <v>1432</v>
      </c>
      <c r="D593" s="11"/>
      <c r="E593" s="11"/>
      <c r="F593" s="270"/>
      <c r="G593" s="11"/>
      <c r="H593" s="11"/>
      <c r="I593" s="11"/>
      <c r="J593" s="208" t="s">
        <v>55</v>
      </c>
      <c r="K593" s="208" t="s">
        <v>1437</v>
      </c>
      <c r="L593" s="11"/>
      <c r="M593" s="11"/>
      <c r="N593" s="11"/>
      <c r="O593" s="11"/>
      <c r="P593" s="263"/>
      <c r="Q593" s="263"/>
      <c r="R593" s="264"/>
      <c r="S593" s="264"/>
      <c r="T593" s="264"/>
      <c r="U593" s="11"/>
      <c r="V593" s="11"/>
      <c r="W593" s="11"/>
      <c r="X593" s="11"/>
      <c r="Y593" s="11"/>
      <c r="Z593" s="11"/>
      <c r="AA593" s="11"/>
      <c r="AB593" s="265"/>
      <c r="AC593" s="11"/>
      <c r="AD593" s="11"/>
      <c r="AE593" s="11"/>
      <c r="AF593" s="11"/>
      <c r="AG593" s="266"/>
      <c r="AH593" s="267"/>
      <c r="AI593" s="267"/>
    </row>
    <row r="594" spans="1:35" ht="52">
      <c r="A594" s="11"/>
      <c r="B594" s="277" t="s">
        <v>1441</v>
      </c>
      <c r="C594" s="10" t="s">
        <v>1442</v>
      </c>
      <c r="D594" s="11"/>
      <c r="E594" s="11"/>
      <c r="F594" s="270"/>
      <c r="G594" s="11"/>
      <c r="H594" s="11"/>
      <c r="I594" s="11"/>
      <c r="J594" s="208" t="s">
        <v>71</v>
      </c>
      <c r="K594" s="11"/>
      <c r="L594" s="11"/>
      <c r="M594" s="11"/>
      <c r="N594" s="11"/>
      <c r="O594" s="11"/>
      <c r="P594" s="263"/>
      <c r="Q594" s="263"/>
      <c r="R594" s="264"/>
      <c r="S594" s="264"/>
      <c r="T594" s="264"/>
      <c r="U594" s="11"/>
      <c r="V594" s="11"/>
      <c r="W594" s="11"/>
      <c r="X594" s="11"/>
      <c r="Y594" s="11"/>
      <c r="Z594" s="11"/>
      <c r="AA594" s="11"/>
      <c r="AB594" s="265"/>
      <c r="AC594" s="11"/>
      <c r="AD594" s="11"/>
      <c r="AE594" s="11"/>
      <c r="AF594" s="11"/>
      <c r="AG594" s="266"/>
      <c r="AH594" s="267"/>
      <c r="AI594" s="267"/>
    </row>
    <row r="595" spans="1:35" ht="168">
      <c r="A595" s="11"/>
      <c r="B595" s="277" t="s">
        <v>1453</v>
      </c>
      <c r="C595" s="10" t="s">
        <v>1453</v>
      </c>
      <c r="D595" s="11"/>
      <c r="E595" s="11"/>
      <c r="F595" s="270"/>
      <c r="G595" s="11"/>
      <c r="H595" s="11"/>
      <c r="I595" s="11"/>
      <c r="J595" s="208" t="s">
        <v>55</v>
      </c>
      <c r="K595" s="208" t="s">
        <v>1456</v>
      </c>
      <c r="L595" s="11"/>
      <c r="M595" s="11"/>
      <c r="N595" s="11"/>
      <c r="O595" s="11"/>
      <c r="P595" s="263"/>
      <c r="Q595" s="263"/>
      <c r="R595" s="264"/>
      <c r="S595" s="264"/>
      <c r="T595" s="264"/>
      <c r="U595" s="11"/>
      <c r="V595" s="11"/>
      <c r="W595" s="11"/>
      <c r="X595" s="11"/>
      <c r="Y595" s="11"/>
      <c r="Z595" s="11"/>
      <c r="AA595" s="11"/>
      <c r="AB595" s="265"/>
      <c r="AC595" s="11"/>
      <c r="AD595" s="11"/>
      <c r="AE595" s="11"/>
      <c r="AF595" s="11"/>
      <c r="AG595" s="266"/>
      <c r="AH595" s="267"/>
      <c r="AI595" s="267"/>
    </row>
    <row r="596" spans="1:35" ht="140">
      <c r="A596" s="11"/>
      <c r="B596" s="277" t="s">
        <v>1462</v>
      </c>
      <c r="C596" s="10" t="s">
        <v>1462</v>
      </c>
      <c r="D596" s="11"/>
      <c r="E596" s="11"/>
      <c r="F596" s="270"/>
      <c r="G596" s="11"/>
      <c r="H596" s="11"/>
      <c r="I596" s="11"/>
      <c r="J596" s="208" t="s">
        <v>55</v>
      </c>
      <c r="K596" s="208" t="s">
        <v>1464</v>
      </c>
      <c r="L596" s="11"/>
      <c r="M596" s="11"/>
      <c r="N596" s="11"/>
      <c r="O596" s="11"/>
      <c r="P596" s="263"/>
      <c r="Q596" s="263"/>
      <c r="R596" s="264"/>
      <c r="S596" s="264"/>
      <c r="T596" s="264"/>
      <c r="U596" s="11"/>
      <c r="V596" s="11"/>
      <c r="W596" s="11"/>
      <c r="X596" s="11"/>
      <c r="Y596" s="11"/>
      <c r="Z596" s="11"/>
      <c r="AA596" s="11"/>
      <c r="AB596" s="265"/>
      <c r="AC596" s="11"/>
      <c r="AD596" s="11"/>
      <c r="AE596" s="11"/>
      <c r="AF596" s="11"/>
      <c r="AG596" s="266"/>
      <c r="AH596" s="267"/>
      <c r="AI596" s="267"/>
    </row>
    <row r="597" spans="1:35" ht="78">
      <c r="A597" s="11"/>
      <c r="B597" s="277" t="s">
        <v>1466</v>
      </c>
      <c r="C597" s="10" t="s">
        <v>1467</v>
      </c>
      <c r="D597" s="11"/>
      <c r="E597" s="11"/>
      <c r="F597" s="270"/>
      <c r="G597" s="11"/>
      <c r="H597" s="11"/>
      <c r="I597" s="11"/>
      <c r="J597" s="208" t="s">
        <v>71</v>
      </c>
      <c r="K597" s="11"/>
      <c r="L597" s="11"/>
      <c r="M597" s="11"/>
      <c r="N597" s="11"/>
      <c r="O597" s="11"/>
      <c r="P597" s="263"/>
      <c r="Q597" s="263"/>
      <c r="R597" s="264"/>
      <c r="S597" s="264"/>
      <c r="T597" s="264"/>
      <c r="U597" s="11"/>
      <c r="V597" s="11"/>
      <c r="W597" s="11"/>
      <c r="X597" s="11"/>
      <c r="Y597" s="11"/>
      <c r="Z597" s="11"/>
      <c r="AA597" s="11"/>
      <c r="AB597" s="265"/>
      <c r="AC597" s="11"/>
      <c r="AD597" s="11"/>
      <c r="AE597" s="11"/>
      <c r="AF597" s="11"/>
      <c r="AG597" s="266"/>
      <c r="AH597" s="267"/>
      <c r="AI597" s="267"/>
    </row>
    <row r="598" spans="1:35" ht="52">
      <c r="A598" s="11"/>
      <c r="B598" s="277" t="s">
        <v>1472</v>
      </c>
      <c r="C598" s="10" t="s">
        <v>1472</v>
      </c>
      <c r="D598" s="11"/>
      <c r="E598" s="11"/>
      <c r="F598" s="270"/>
      <c r="G598" s="11"/>
      <c r="H598" s="11"/>
      <c r="I598" s="11"/>
      <c r="J598" s="208" t="s">
        <v>71</v>
      </c>
      <c r="K598" s="11"/>
      <c r="L598" s="11"/>
      <c r="M598" s="11"/>
      <c r="N598" s="11"/>
      <c r="O598" s="11"/>
      <c r="P598" s="263"/>
      <c r="Q598" s="263"/>
      <c r="R598" s="264"/>
      <c r="S598" s="264"/>
      <c r="T598" s="264"/>
      <c r="U598" s="11"/>
      <c r="V598" s="11"/>
      <c r="W598" s="11"/>
      <c r="X598" s="11"/>
      <c r="Y598" s="11"/>
      <c r="Z598" s="11"/>
      <c r="AA598" s="11"/>
      <c r="AB598" s="265"/>
      <c r="AC598" s="11"/>
      <c r="AD598" s="11"/>
      <c r="AE598" s="11"/>
      <c r="AF598" s="11"/>
      <c r="AG598" s="266"/>
      <c r="AH598" s="267"/>
      <c r="AI598" s="267"/>
    </row>
    <row r="599" spans="1:35" ht="52">
      <c r="A599" s="11"/>
      <c r="B599" s="277" t="s">
        <v>1482</v>
      </c>
      <c r="C599" s="10" t="s">
        <v>1482</v>
      </c>
      <c r="D599" s="11"/>
      <c r="E599" s="11"/>
      <c r="F599" s="270"/>
      <c r="G599" s="11"/>
      <c r="H599" s="11"/>
      <c r="I599" s="11"/>
      <c r="J599" s="208" t="s">
        <v>71</v>
      </c>
      <c r="K599" s="11"/>
      <c r="L599" s="11"/>
      <c r="M599" s="11"/>
      <c r="N599" s="11"/>
      <c r="O599" s="11"/>
      <c r="P599" s="263"/>
      <c r="Q599" s="263"/>
      <c r="R599" s="264"/>
      <c r="S599" s="264"/>
      <c r="T599" s="264"/>
      <c r="U599" s="11"/>
      <c r="V599" s="11"/>
      <c r="W599" s="11"/>
      <c r="X599" s="11"/>
      <c r="Y599" s="11"/>
      <c r="Z599" s="11"/>
      <c r="AA599" s="11"/>
      <c r="AB599" s="265"/>
      <c r="AC599" s="11"/>
      <c r="AD599" s="11"/>
      <c r="AE599" s="11"/>
      <c r="AF599" s="11"/>
      <c r="AG599" s="266"/>
      <c r="AH599" s="267"/>
      <c r="AI599" s="267"/>
    </row>
    <row r="600" spans="1:35" ht="52">
      <c r="A600" s="11"/>
      <c r="B600" s="277" t="s">
        <v>1490</v>
      </c>
      <c r="C600" s="10" t="s">
        <v>1491</v>
      </c>
      <c r="D600" s="11"/>
      <c r="E600" s="11"/>
      <c r="F600" s="270"/>
      <c r="G600" s="11"/>
      <c r="H600" s="11"/>
      <c r="I600" s="11"/>
      <c r="J600" s="208" t="s">
        <v>71</v>
      </c>
      <c r="K600" s="11"/>
      <c r="L600" s="11"/>
      <c r="M600" s="11"/>
      <c r="N600" s="11"/>
      <c r="O600" s="11"/>
      <c r="P600" s="263"/>
      <c r="Q600" s="263"/>
      <c r="R600" s="264"/>
      <c r="S600" s="264"/>
      <c r="T600" s="264"/>
      <c r="U600" s="11"/>
      <c r="V600" s="11"/>
      <c r="W600" s="11"/>
      <c r="X600" s="11"/>
      <c r="Y600" s="11"/>
      <c r="Z600" s="11"/>
      <c r="AA600" s="11"/>
      <c r="AB600" s="265"/>
      <c r="AC600" s="11"/>
      <c r="AD600" s="11"/>
      <c r="AE600" s="11"/>
      <c r="AF600" s="11"/>
      <c r="AG600" s="266"/>
      <c r="AH600" s="267"/>
      <c r="AI600" s="267"/>
    </row>
    <row r="601" spans="1:35" ht="52">
      <c r="A601" s="11"/>
      <c r="B601" s="277" t="s">
        <v>1499</v>
      </c>
      <c r="C601" s="10" t="s">
        <v>1500</v>
      </c>
      <c r="D601" s="11"/>
      <c r="E601" s="11"/>
      <c r="F601" s="270"/>
      <c r="G601" s="11"/>
      <c r="H601" s="11"/>
      <c r="I601" s="11"/>
      <c r="J601" s="208" t="s">
        <v>71</v>
      </c>
      <c r="K601" s="11"/>
      <c r="L601" s="11"/>
      <c r="M601" s="11"/>
      <c r="N601" s="11"/>
      <c r="O601" s="11"/>
      <c r="P601" s="263"/>
      <c r="Q601" s="263"/>
      <c r="R601" s="264"/>
      <c r="S601" s="264"/>
      <c r="T601" s="264"/>
      <c r="U601" s="11"/>
      <c r="V601" s="11"/>
      <c r="W601" s="11"/>
      <c r="X601" s="11"/>
      <c r="Y601" s="11"/>
      <c r="Z601" s="11"/>
      <c r="AA601" s="11"/>
      <c r="AB601" s="265"/>
      <c r="AC601" s="11"/>
      <c r="AD601" s="11"/>
      <c r="AE601" s="11"/>
      <c r="AF601" s="11"/>
      <c r="AG601" s="266"/>
      <c r="AH601" s="267"/>
      <c r="AI601" s="267"/>
    </row>
    <row r="602" spans="1:35" ht="39">
      <c r="A602" s="11"/>
      <c r="B602" s="277" t="s">
        <v>1507</v>
      </c>
      <c r="C602" s="10" t="s">
        <v>1508</v>
      </c>
      <c r="D602" s="11"/>
      <c r="E602" s="11"/>
      <c r="F602" s="270"/>
      <c r="G602" s="11"/>
      <c r="H602" s="11"/>
      <c r="I602" s="11"/>
      <c r="J602" s="208" t="s">
        <v>71</v>
      </c>
      <c r="K602" s="11"/>
      <c r="L602" s="11"/>
      <c r="M602" s="11"/>
      <c r="N602" s="11"/>
      <c r="O602" s="11"/>
      <c r="P602" s="263"/>
      <c r="Q602" s="263"/>
      <c r="R602" s="264"/>
      <c r="S602" s="264"/>
      <c r="T602" s="264"/>
      <c r="U602" s="11"/>
      <c r="V602" s="11"/>
      <c r="W602" s="11"/>
      <c r="X602" s="11"/>
      <c r="Y602" s="11"/>
      <c r="Z602" s="11"/>
      <c r="AA602" s="11"/>
      <c r="AB602" s="265"/>
      <c r="AC602" s="11"/>
      <c r="AD602" s="11"/>
      <c r="AE602" s="11"/>
      <c r="AF602" s="11"/>
      <c r="AG602" s="266"/>
      <c r="AH602" s="267"/>
      <c r="AI602" s="267"/>
    </row>
    <row r="603" spans="1:35" ht="52">
      <c r="A603" s="11"/>
      <c r="B603" s="277" t="s">
        <v>1513</v>
      </c>
      <c r="C603" s="10" t="s">
        <v>1500</v>
      </c>
      <c r="D603" s="11"/>
      <c r="E603" s="11"/>
      <c r="F603" s="270"/>
      <c r="G603" s="11"/>
      <c r="H603" s="11"/>
      <c r="I603" s="11"/>
      <c r="J603" s="208" t="s">
        <v>71</v>
      </c>
      <c r="K603" s="11"/>
      <c r="L603" s="11"/>
      <c r="M603" s="11"/>
      <c r="N603" s="11"/>
      <c r="O603" s="11"/>
      <c r="P603" s="263"/>
      <c r="Q603" s="263"/>
      <c r="R603" s="264"/>
      <c r="S603" s="264"/>
      <c r="T603" s="264"/>
      <c r="U603" s="11"/>
      <c r="V603" s="11"/>
      <c r="W603" s="11"/>
      <c r="X603" s="11"/>
      <c r="Y603" s="11"/>
      <c r="Z603" s="11"/>
      <c r="AA603" s="11"/>
      <c r="AB603" s="265"/>
      <c r="AC603" s="11"/>
      <c r="AD603" s="11"/>
      <c r="AE603" s="11"/>
      <c r="AF603" s="11"/>
      <c r="AG603" s="266"/>
      <c r="AH603" s="267"/>
      <c r="AI603" s="267"/>
    </row>
    <row r="604" spans="1:35" ht="78">
      <c r="A604" s="11"/>
      <c r="B604" s="277" t="s">
        <v>1520</v>
      </c>
      <c r="C604" s="10" t="s">
        <v>1520</v>
      </c>
      <c r="D604" s="11"/>
      <c r="E604" s="11"/>
      <c r="F604" s="270"/>
      <c r="G604" s="11"/>
      <c r="H604" s="11"/>
      <c r="I604" s="11"/>
      <c r="J604" s="208" t="s">
        <v>71</v>
      </c>
      <c r="K604" s="11"/>
      <c r="L604" s="11"/>
      <c r="M604" s="11"/>
      <c r="N604" s="11"/>
      <c r="O604" s="11"/>
      <c r="P604" s="263"/>
      <c r="Q604" s="263"/>
      <c r="R604" s="264"/>
      <c r="S604" s="264"/>
      <c r="T604" s="264"/>
      <c r="U604" s="11"/>
      <c r="V604" s="11"/>
      <c r="W604" s="11"/>
      <c r="X604" s="11"/>
      <c r="Y604" s="11"/>
      <c r="Z604" s="11"/>
      <c r="AA604" s="11"/>
      <c r="AB604" s="265"/>
      <c r="AC604" s="11"/>
      <c r="AD604" s="11"/>
      <c r="AE604" s="11"/>
      <c r="AF604" s="11"/>
      <c r="AG604" s="266"/>
      <c r="AH604" s="267"/>
      <c r="AI604" s="267"/>
    </row>
    <row r="605" spans="1:35" ht="52">
      <c r="A605" s="11"/>
      <c r="B605" s="277" t="s">
        <v>1528</v>
      </c>
      <c r="C605" s="10" t="s">
        <v>1529</v>
      </c>
      <c r="D605" s="11"/>
      <c r="E605" s="11"/>
      <c r="F605" s="270"/>
      <c r="G605" s="11"/>
      <c r="H605" s="11"/>
      <c r="I605" s="11"/>
      <c r="J605" s="208" t="s">
        <v>71</v>
      </c>
      <c r="K605" s="11"/>
      <c r="L605" s="11"/>
      <c r="M605" s="11"/>
      <c r="N605" s="11"/>
      <c r="O605" s="11"/>
      <c r="P605" s="263"/>
      <c r="Q605" s="263"/>
      <c r="R605" s="264"/>
      <c r="S605" s="264"/>
      <c r="T605" s="264"/>
      <c r="U605" s="11"/>
      <c r="V605" s="11"/>
      <c r="W605" s="11"/>
      <c r="X605" s="11"/>
      <c r="Y605" s="11"/>
      <c r="Z605" s="11"/>
      <c r="AA605" s="11"/>
      <c r="AB605" s="265"/>
      <c r="AC605" s="11"/>
      <c r="AD605" s="11"/>
      <c r="AE605" s="11"/>
      <c r="AF605" s="11"/>
      <c r="AG605" s="266"/>
      <c r="AH605" s="267"/>
      <c r="AI605" s="267"/>
    </row>
    <row r="606" spans="1:35" ht="91">
      <c r="A606" s="11"/>
      <c r="B606" s="277" t="s">
        <v>1539</v>
      </c>
      <c r="C606" s="10" t="s">
        <v>1540</v>
      </c>
      <c r="D606" s="11"/>
      <c r="E606" s="11"/>
      <c r="F606" s="270"/>
      <c r="G606" s="11"/>
      <c r="H606" s="11"/>
      <c r="I606" s="11"/>
      <c r="J606" s="208" t="s">
        <v>71</v>
      </c>
      <c r="K606" s="11"/>
      <c r="L606" s="11"/>
      <c r="M606" s="11"/>
      <c r="N606" s="11"/>
      <c r="O606" s="11"/>
      <c r="P606" s="263"/>
      <c r="Q606" s="263"/>
      <c r="R606" s="264"/>
      <c r="S606" s="264"/>
      <c r="T606" s="264"/>
      <c r="U606" s="11"/>
      <c r="V606" s="11"/>
      <c r="W606" s="11"/>
      <c r="X606" s="11"/>
      <c r="Y606" s="11"/>
      <c r="Z606" s="11"/>
      <c r="AA606" s="11"/>
      <c r="AB606" s="265"/>
      <c r="AC606" s="11"/>
      <c r="AD606" s="11"/>
      <c r="AE606" s="11"/>
      <c r="AF606" s="11"/>
      <c r="AG606" s="266"/>
      <c r="AH606" s="267"/>
      <c r="AI606" s="267"/>
    </row>
    <row r="607" spans="1:35" ht="154">
      <c r="A607" s="11"/>
      <c r="B607" s="277" t="s">
        <v>1548</v>
      </c>
      <c r="C607" s="10" t="s">
        <v>1549</v>
      </c>
      <c r="D607" s="11"/>
      <c r="E607" s="11"/>
      <c r="F607" s="270"/>
      <c r="G607" s="11"/>
      <c r="H607" s="11"/>
      <c r="I607" s="11"/>
      <c r="J607" s="208" t="s">
        <v>67</v>
      </c>
      <c r="K607" s="208" t="s">
        <v>1551</v>
      </c>
      <c r="L607" s="11"/>
      <c r="M607" s="11"/>
      <c r="N607" s="11"/>
      <c r="O607" s="11"/>
      <c r="P607" s="263"/>
      <c r="Q607" s="263"/>
      <c r="R607" s="264"/>
      <c r="S607" s="264"/>
      <c r="T607" s="264"/>
      <c r="U607" s="11"/>
      <c r="V607" s="11"/>
      <c r="W607" s="11"/>
      <c r="X607" s="11"/>
      <c r="Y607" s="11"/>
      <c r="Z607" s="11"/>
      <c r="AA607" s="11"/>
      <c r="AB607" s="265"/>
      <c r="AC607" s="11"/>
      <c r="AD607" s="11"/>
      <c r="AE607" s="11"/>
      <c r="AF607" s="11"/>
      <c r="AG607" s="266"/>
      <c r="AH607" s="267"/>
      <c r="AI607" s="267"/>
    </row>
    <row r="608" spans="1:35" ht="39">
      <c r="A608" s="11"/>
      <c r="B608" s="277" t="s">
        <v>1556</v>
      </c>
      <c r="C608" s="10" t="s">
        <v>1557</v>
      </c>
      <c r="D608" s="11"/>
      <c r="E608" s="11"/>
      <c r="F608" s="270"/>
      <c r="G608" s="11"/>
      <c r="H608" s="11"/>
      <c r="I608" s="11"/>
      <c r="J608" s="208" t="s">
        <v>71</v>
      </c>
      <c r="K608" s="11"/>
      <c r="L608" s="11"/>
      <c r="M608" s="11"/>
      <c r="N608" s="11"/>
      <c r="O608" s="11"/>
      <c r="P608" s="263"/>
      <c r="Q608" s="263"/>
      <c r="R608" s="264"/>
      <c r="S608" s="264"/>
      <c r="T608" s="264"/>
      <c r="U608" s="11"/>
      <c r="V608" s="11"/>
      <c r="W608" s="11"/>
      <c r="X608" s="11"/>
      <c r="Y608" s="11"/>
      <c r="Z608" s="11"/>
      <c r="AA608" s="11"/>
      <c r="AB608" s="265"/>
      <c r="AC608" s="11"/>
      <c r="AD608" s="11"/>
      <c r="AE608" s="11"/>
      <c r="AF608" s="11"/>
      <c r="AG608" s="266"/>
      <c r="AH608" s="267"/>
      <c r="AI608" s="267"/>
    </row>
    <row r="609" spans="1:35" ht="26">
      <c r="A609" s="11"/>
      <c r="B609" s="277" t="s">
        <v>1562</v>
      </c>
      <c r="C609" s="10" t="s">
        <v>1563</v>
      </c>
      <c r="D609" s="11"/>
      <c r="E609" s="11"/>
      <c r="F609" s="270"/>
      <c r="G609" s="11"/>
      <c r="H609" s="11"/>
      <c r="I609" s="11"/>
      <c r="J609" s="208" t="s">
        <v>71</v>
      </c>
      <c r="K609" s="11"/>
      <c r="L609" s="11"/>
      <c r="M609" s="11"/>
      <c r="N609" s="11"/>
      <c r="O609" s="11"/>
      <c r="P609" s="263"/>
      <c r="Q609" s="263"/>
      <c r="R609" s="264"/>
      <c r="S609" s="264"/>
      <c r="T609" s="264"/>
      <c r="U609" s="11"/>
      <c r="V609" s="11"/>
      <c r="W609" s="11"/>
      <c r="X609" s="11"/>
      <c r="Y609" s="11"/>
      <c r="Z609" s="11"/>
      <c r="AA609" s="11"/>
      <c r="AB609" s="265"/>
      <c r="AC609" s="11"/>
      <c r="AD609" s="11"/>
      <c r="AE609" s="11"/>
      <c r="AF609" s="11"/>
      <c r="AG609" s="266"/>
      <c r="AH609" s="267"/>
      <c r="AI609" s="267"/>
    </row>
    <row r="610" spans="1:35" ht="52">
      <c r="A610" s="11"/>
      <c r="B610" s="277" t="s">
        <v>1570</v>
      </c>
      <c r="C610" s="10" t="s">
        <v>1571</v>
      </c>
      <c r="D610" s="11"/>
      <c r="E610" s="11"/>
      <c r="F610" s="270"/>
      <c r="G610" s="11"/>
      <c r="H610" s="11"/>
      <c r="I610" s="11"/>
      <c r="J610" s="208" t="s">
        <v>71</v>
      </c>
      <c r="K610" s="11"/>
      <c r="L610" s="11"/>
      <c r="M610" s="11"/>
      <c r="N610" s="11"/>
      <c r="O610" s="11"/>
      <c r="P610" s="263"/>
      <c r="Q610" s="263"/>
      <c r="R610" s="264"/>
      <c r="S610" s="264"/>
      <c r="T610" s="264"/>
      <c r="U610" s="11"/>
      <c r="V610" s="11"/>
      <c r="W610" s="11"/>
      <c r="X610" s="11"/>
      <c r="Y610" s="11"/>
      <c r="Z610" s="11"/>
      <c r="AA610" s="11"/>
      <c r="AB610" s="265"/>
      <c r="AC610" s="11"/>
      <c r="AD610" s="11"/>
      <c r="AE610" s="11"/>
      <c r="AF610" s="11"/>
      <c r="AG610" s="266"/>
      <c r="AH610" s="267"/>
      <c r="AI610" s="267"/>
    </row>
    <row r="611" spans="1:35" ht="224">
      <c r="A611" s="11"/>
      <c r="B611" s="277" t="s">
        <v>1576</v>
      </c>
      <c r="C611" s="10" t="s">
        <v>1576</v>
      </c>
      <c r="D611" s="11"/>
      <c r="E611" s="11"/>
      <c r="F611" s="270"/>
      <c r="G611" s="11"/>
      <c r="H611" s="11"/>
      <c r="I611" s="11"/>
      <c r="J611" s="208" t="s">
        <v>55</v>
      </c>
      <c r="K611" s="208" t="s">
        <v>2121</v>
      </c>
      <c r="L611" s="11"/>
      <c r="M611" s="11"/>
      <c r="N611" s="11"/>
      <c r="O611" s="11"/>
      <c r="P611" s="263"/>
      <c r="Q611" s="263"/>
      <c r="R611" s="264"/>
      <c r="S611" s="264"/>
      <c r="T611" s="264"/>
      <c r="U611" s="11"/>
      <c r="V611" s="11"/>
      <c r="W611" s="11"/>
      <c r="X611" s="11"/>
      <c r="Y611" s="11"/>
      <c r="Z611" s="11"/>
      <c r="AA611" s="11"/>
      <c r="AB611" s="265"/>
      <c r="AC611" s="11"/>
      <c r="AD611" s="11"/>
      <c r="AE611" s="11"/>
      <c r="AF611" s="11"/>
      <c r="AG611" s="266"/>
      <c r="AH611" s="267"/>
      <c r="AI611" s="267"/>
    </row>
    <row r="612" spans="1:35" ht="52">
      <c r="A612" s="11"/>
      <c r="B612" s="277" t="s">
        <v>1577</v>
      </c>
      <c r="C612" s="10" t="s">
        <v>1578</v>
      </c>
      <c r="D612" s="11"/>
      <c r="E612" s="11"/>
      <c r="F612" s="270"/>
      <c r="G612" s="11"/>
      <c r="H612" s="11"/>
      <c r="I612" s="11"/>
      <c r="J612" s="208" t="s">
        <v>71</v>
      </c>
      <c r="K612" s="11"/>
      <c r="L612" s="11"/>
      <c r="M612" s="11"/>
      <c r="N612" s="11"/>
      <c r="O612" s="11"/>
      <c r="P612" s="263"/>
      <c r="Q612" s="263"/>
      <c r="R612" s="264"/>
      <c r="S612" s="264"/>
      <c r="T612" s="264"/>
      <c r="U612" s="11"/>
      <c r="V612" s="11"/>
      <c r="W612" s="11"/>
      <c r="X612" s="11"/>
      <c r="Y612" s="11"/>
      <c r="Z612" s="11"/>
      <c r="AA612" s="11"/>
      <c r="AB612" s="265"/>
      <c r="AC612" s="11"/>
      <c r="AD612" s="11"/>
      <c r="AE612" s="11"/>
      <c r="AF612" s="11"/>
      <c r="AG612" s="266"/>
      <c r="AH612" s="267"/>
      <c r="AI612" s="267"/>
    </row>
    <row r="613" spans="1:35" ht="154">
      <c r="A613" s="11"/>
      <c r="B613" s="277" t="s">
        <v>1579</v>
      </c>
      <c r="C613" s="10" t="s">
        <v>1580</v>
      </c>
      <c r="D613" s="11"/>
      <c r="E613" s="11"/>
      <c r="F613" s="270"/>
      <c r="G613" s="11"/>
      <c r="H613" s="11"/>
      <c r="I613" s="11"/>
      <c r="J613" s="208" t="s">
        <v>55</v>
      </c>
      <c r="K613" s="208" t="s">
        <v>2123</v>
      </c>
      <c r="L613" s="11"/>
      <c r="M613" s="11"/>
      <c r="N613" s="11"/>
      <c r="O613" s="11"/>
      <c r="P613" s="263"/>
      <c r="Q613" s="263"/>
      <c r="R613" s="264"/>
      <c r="S613" s="264"/>
      <c r="T613" s="264"/>
      <c r="U613" s="11"/>
      <c r="V613" s="11"/>
      <c r="W613" s="11"/>
      <c r="X613" s="11"/>
      <c r="Y613" s="11"/>
      <c r="Z613" s="11"/>
      <c r="AA613" s="11"/>
      <c r="AB613" s="265"/>
      <c r="AC613" s="11"/>
      <c r="AD613" s="11"/>
      <c r="AE613" s="11"/>
      <c r="AF613" s="11"/>
      <c r="AG613" s="266"/>
      <c r="AH613" s="267"/>
      <c r="AI613" s="267"/>
    </row>
    <row r="614" spans="1:35" ht="78">
      <c r="A614" s="11"/>
      <c r="B614" s="277" t="s">
        <v>1583</v>
      </c>
      <c r="C614" s="10" t="s">
        <v>1584</v>
      </c>
      <c r="D614" s="11"/>
      <c r="E614" s="11"/>
      <c r="F614" s="270"/>
      <c r="G614" s="11"/>
      <c r="H614" s="11"/>
      <c r="I614" s="11"/>
      <c r="J614" s="208" t="s">
        <v>71</v>
      </c>
      <c r="K614" s="11"/>
      <c r="L614" s="11"/>
      <c r="M614" s="11"/>
      <c r="N614" s="11"/>
      <c r="O614" s="11"/>
      <c r="P614" s="263"/>
      <c r="Q614" s="263"/>
      <c r="R614" s="264"/>
      <c r="S614" s="264"/>
      <c r="T614" s="264"/>
      <c r="U614" s="11"/>
      <c r="V614" s="11"/>
      <c r="W614" s="11"/>
      <c r="X614" s="11"/>
      <c r="Y614" s="11"/>
      <c r="Z614" s="11"/>
      <c r="AA614" s="11"/>
      <c r="AB614" s="265"/>
      <c r="AC614" s="11"/>
      <c r="AD614" s="11"/>
      <c r="AE614" s="11"/>
      <c r="AF614" s="11"/>
      <c r="AG614" s="266"/>
      <c r="AH614" s="267"/>
      <c r="AI614" s="267"/>
    </row>
    <row r="615" spans="1:35" ht="39">
      <c r="A615" s="11"/>
      <c r="B615" s="277" t="s">
        <v>1592</v>
      </c>
      <c r="C615" s="10" t="s">
        <v>1593</v>
      </c>
      <c r="D615" s="11"/>
      <c r="E615" s="11"/>
      <c r="F615" s="270"/>
      <c r="G615" s="11"/>
      <c r="H615" s="11"/>
      <c r="I615" s="11"/>
      <c r="J615" s="208" t="s">
        <v>71</v>
      </c>
      <c r="K615" s="11"/>
      <c r="L615" s="11"/>
      <c r="M615" s="11"/>
      <c r="N615" s="11"/>
      <c r="O615" s="11"/>
      <c r="P615" s="263"/>
      <c r="Q615" s="263"/>
      <c r="R615" s="264"/>
      <c r="S615" s="264"/>
      <c r="T615" s="264"/>
      <c r="U615" s="11"/>
      <c r="V615" s="11"/>
      <c r="W615" s="11"/>
      <c r="X615" s="11"/>
      <c r="Y615" s="11"/>
      <c r="Z615" s="11"/>
      <c r="AA615" s="11"/>
      <c r="AB615" s="265"/>
      <c r="AC615" s="11"/>
      <c r="AD615" s="11"/>
      <c r="AE615" s="11"/>
      <c r="AF615" s="11"/>
      <c r="AG615" s="266"/>
      <c r="AH615" s="267"/>
      <c r="AI615" s="267"/>
    </row>
    <row r="616" spans="1:35" ht="52">
      <c r="A616" s="11"/>
      <c r="B616" s="277" t="s">
        <v>1601</v>
      </c>
      <c r="C616" s="10" t="s">
        <v>1601</v>
      </c>
      <c r="D616" s="11"/>
      <c r="E616" s="11"/>
      <c r="F616" s="270"/>
      <c r="G616" s="11"/>
      <c r="H616" s="11"/>
      <c r="I616" s="11"/>
      <c r="J616" s="208" t="s">
        <v>71</v>
      </c>
      <c r="K616" s="11"/>
      <c r="L616" s="11"/>
      <c r="M616" s="11"/>
      <c r="N616" s="11"/>
      <c r="O616" s="11"/>
      <c r="P616" s="263"/>
      <c r="Q616" s="263"/>
      <c r="R616" s="264"/>
      <c r="S616" s="264"/>
      <c r="T616" s="264"/>
      <c r="U616" s="11"/>
      <c r="V616" s="11"/>
      <c r="W616" s="11"/>
      <c r="X616" s="11"/>
      <c r="Y616" s="11"/>
      <c r="Z616" s="11"/>
      <c r="AA616" s="11"/>
      <c r="AB616" s="265"/>
      <c r="AC616" s="11"/>
      <c r="AD616" s="11"/>
      <c r="AE616" s="11"/>
      <c r="AF616" s="11"/>
      <c r="AG616" s="266"/>
      <c r="AH616" s="267"/>
      <c r="AI616" s="267"/>
    </row>
    <row r="617" spans="1:35" ht="238">
      <c r="A617" s="11"/>
      <c r="B617" s="277" t="s">
        <v>1614</v>
      </c>
      <c r="C617" s="10" t="s">
        <v>1615</v>
      </c>
      <c r="D617" s="11"/>
      <c r="E617" s="11"/>
      <c r="F617" s="270"/>
      <c r="G617" s="11"/>
      <c r="H617" s="11"/>
      <c r="I617" s="11"/>
      <c r="J617" s="208" t="s">
        <v>55</v>
      </c>
      <c r="K617" s="278" t="s">
        <v>2125</v>
      </c>
      <c r="L617" s="11"/>
      <c r="M617" s="11"/>
      <c r="N617" s="11"/>
      <c r="O617" s="11"/>
      <c r="P617" s="263"/>
      <c r="Q617" s="263"/>
      <c r="R617" s="264"/>
      <c r="S617" s="264"/>
      <c r="T617" s="264"/>
      <c r="U617" s="11"/>
      <c r="V617" s="11"/>
      <c r="W617" s="11"/>
      <c r="X617" s="11"/>
      <c r="Y617" s="11"/>
      <c r="Z617" s="11"/>
      <c r="AA617" s="11"/>
      <c r="AB617" s="265"/>
      <c r="AC617" s="11"/>
      <c r="AD617" s="11"/>
      <c r="AE617" s="11"/>
      <c r="AF617" s="11"/>
      <c r="AG617" s="266"/>
      <c r="AH617" s="267"/>
      <c r="AI617" s="267"/>
    </row>
    <row r="618" spans="1:35" ht="65">
      <c r="A618" s="11"/>
      <c r="B618" s="277" t="s">
        <v>1623</v>
      </c>
      <c r="C618" s="10" t="s">
        <v>1624</v>
      </c>
      <c r="D618" s="11"/>
      <c r="E618" s="11"/>
      <c r="F618" s="270"/>
      <c r="G618" s="11"/>
      <c r="H618" s="11"/>
      <c r="I618" s="11"/>
      <c r="J618" s="208" t="s">
        <v>71</v>
      </c>
      <c r="K618" s="11"/>
      <c r="L618" s="11"/>
      <c r="M618" s="11"/>
      <c r="N618" s="11"/>
      <c r="O618" s="11"/>
      <c r="P618" s="263"/>
      <c r="Q618" s="263"/>
      <c r="R618" s="264"/>
      <c r="S618" s="264"/>
      <c r="T618" s="264"/>
      <c r="U618" s="11"/>
      <c r="V618" s="11"/>
      <c r="W618" s="11"/>
      <c r="X618" s="11"/>
      <c r="Y618" s="11"/>
      <c r="Z618" s="11"/>
      <c r="AA618" s="11"/>
      <c r="AB618" s="265"/>
      <c r="AC618" s="11"/>
      <c r="AD618" s="11"/>
      <c r="AE618" s="11"/>
      <c r="AF618" s="11"/>
      <c r="AG618" s="266"/>
      <c r="AH618" s="267"/>
      <c r="AI618" s="267"/>
    </row>
    <row r="619" spans="1:35" ht="26">
      <c r="A619" s="11"/>
      <c r="B619" s="277" t="s">
        <v>1632</v>
      </c>
      <c r="C619" s="10" t="s">
        <v>1633</v>
      </c>
      <c r="D619" s="11"/>
      <c r="E619" s="11"/>
      <c r="F619" s="270"/>
      <c r="G619" s="11"/>
      <c r="H619" s="11"/>
      <c r="I619" s="11"/>
      <c r="J619" s="208" t="s">
        <v>71</v>
      </c>
      <c r="K619" s="11"/>
      <c r="L619" s="11"/>
      <c r="M619" s="11"/>
      <c r="N619" s="11"/>
      <c r="O619" s="11"/>
      <c r="P619" s="263"/>
      <c r="Q619" s="263"/>
      <c r="R619" s="264"/>
      <c r="S619" s="264"/>
      <c r="T619" s="264"/>
      <c r="U619" s="11"/>
      <c r="V619" s="11"/>
      <c r="W619" s="11"/>
      <c r="X619" s="11"/>
      <c r="Y619" s="11"/>
      <c r="Z619" s="11"/>
      <c r="AA619" s="11"/>
      <c r="AB619" s="265"/>
      <c r="AC619" s="11"/>
      <c r="AD619" s="11"/>
      <c r="AE619" s="11"/>
      <c r="AF619" s="11"/>
      <c r="AG619" s="266"/>
      <c r="AH619" s="267"/>
      <c r="AI619" s="267"/>
    </row>
    <row r="620" spans="1:35" ht="182">
      <c r="A620" s="11"/>
      <c r="B620" s="277" t="s">
        <v>1643</v>
      </c>
      <c r="C620" s="10" t="s">
        <v>1644</v>
      </c>
      <c r="D620" s="11"/>
      <c r="E620" s="11"/>
      <c r="F620" s="270"/>
      <c r="G620" s="11"/>
      <c r="H620" s="11"/>
      <c r="I620" s="11"/>
      <c r="J620" s="208" t="s">
        <v>67</v>
      </c>
      <c r="K620" s="278" t="s">
        <v>1648</v>
      </c>
      <c r="L620" s="11"/>
      <c r="M620" s="11"/>
      <c r="N620" s="11"/>
      <c r="O620" s="11"/>
      <c r="P620" s="263"/>
      <c r="Q620" s="263"/>
      <c r="R620" s="264"/>
      <c r="S620" s="264"/>
      <c r="T620" s="264"/>
      <c r="U620" s="11"/>
      <c r="V620" s="11"/>
      <c r="W620" s="11"/>
      <c r="X620" s="11"/>
      <c r="Y620" s="11"/>
      <c r="Z620" s="11"/>
      <c r="AA620" s="11"/>
      <c r="AB620" s="265"/>
      <c r="AC620" s="11"/>
      <c r="AD620" s="11"/>
      <c r="AE620" s="11"/>
      <c r="AF620" s="11"/>
      <c r="AG620" s="266"/>
      <c r="AH620" s="267"/>
      <c r="AI620" s="267"/>
    </row>
    <row r="621" spans="1:35" ht="52">
      <c r="A621" s="11"/>
      <c r="B621" s="277" t="s">
        <v>1649</v>
      </c>
      <c r="C621" s="10" t="s">
        <v>1650</v>
      </c>
      <c r="D621" s="11"/>
      <c r="E621" s="11"/>
      <c r="F621" s="270"/>
      <c r="G621" s="11"/>
      <c r="H621" s="11"/>
      <c r="I621" s="11"/>
      <c r="J621" s="208" t="s">
        <v>71</v>
      </c>
      <c r="K621" s="11"/>
      <c r="L621" s="11"/>
      <c r="M621" s="11"/>
      <c r="N621" s="11"/>
      <c r="O621" s="11"/>
      <c r="P621" s="263"/>
      <c r="Q621" s="263"/>
      <c r="R621" s="264"/>
      <c r="S621" s="264"/>
      <c r="T621" s="264"/>
      <c r="U621" s="11"/>
      <c r="V621" s="11"/>
      <c r="W621" s="11"/>
      <c r="X621" s="11"/>
      <c r="Y621" s="11"/>
      <c r="Z621" s="11"/>
      <c r="AA621" s="11"/>
      <c r="AB621" s="265"/>
      <c r="AC621" s="11"/>
      <c r="AD621" s="11"/>
      <c r="AE621" s="11"/>
      <c r="AF621" s="11"/>
      <c r="AG621" s="266"/>
      <c r="AH621" s="267"/>
      <c r="AI621" s="267"/>
    </row>
    <row r="622" spans="1:35" ht="182">
      <c r="A622" s="11"/>
      <c r="B622" s="277" t="s">
        <v>1652</v>
      </c>
      <c r="C622" s="10" t="s">
        <v>1653</v>
      </c>
      <c r="D622" s="11"/>
      <c r="E622" s="11"/>
      <c r="F622" s="270"/>
      <c r="G622" s="11"/>
      <c r="H622" s="11"/>
      <c r="I622" s="11"/>
      <c r="J622" s="208" t="s">
        <v>67</v>
      </c>
      <c r="K622" s="278" t="s">
        <v>1654</v>
      </c>
      <c r="L622" s="11"/>
      <c r="M622" s="11"/>
      <c r="N622" s="11"/>
      <c r="O622" s="11"/>
      <c r="P622" s="263"/>
      <c r="Q622" s="263"/>
      <c r="R622" s="264"/>
      <c r="S622" s="264"/>
      <c r="T622" s="264"/>
      <c r="U622" s="11"/>
      <c r="V622" s="11"/>
      <c r="W622" s="11"/>
      <c r="X622" s="11"/>
      <c r="Y622" s="11"/>
      <c r="Z622" s="11"/>
      <c r="AA622" s="11"/>
      <c r="AB622" s="265"/>
      <c r="AC622" s="11"/>
      <c r="AD622" s="11"/>
      <c r="AE622" s="11"/>
      <c r="AF622" s="11"/>
      <c r="AG622" s="266"/>
      <c r="AH622" s="267"/>
      <c r="AI622" s="267"/>
    </row>
    <row r="623" spans="1:35" ht="182">
      <c r="A623" s="11"/>
      <c r="B623" s="277" t="s">
        <v>1656</v>
      </c>
      <c r="C623" s="10" t="s">
        <v>1657</v>
      </c>
      <c r="D623" s="11"/>
      <c r="E623" s="11"/>
      <c r="F623" s="270"/>
      <c r="G623" s="11"/>
      <c r="H623" s="11"/>
      <c r="I623" s="11"/>
      <c r="J623" s="208" t="s">
        <v>67</v>
      </c>
      <c r="K623" s="208" t="s">
        <v>1660</v>
      </c>
      <c r="L623" s="11"/>
      <c r="M623" s="11"/>
      <c r="N623" s="11"/>
      <c r="O623" s="11"/>
      <c r="P623" s="263"/>
      <c r="Q623" s="263"/>
      <c r="R623" s="264"/>
      <c r="S623" s="264"/>
      <c r="T623" s="264"/>
      <c r="U623" s="11"/>
      <c r="V623" s="11"/>
      <c r="W623" s="11"/>
      <c r="X623" s="11"/>
      <c r="Y623" s="11"/>
      <c r="Z623" s="11"/>
      <c r="AA623" s="11"/>
      <c r="AB623" s="265"/>
      <c r="AC623" s="11"/>
      <c r="AD623" s="11"/>
      <c r="AE623" s="11"/>
      <c r="AF623" s="11"/>
      <c r="AG623" s="266"/>
      <c r="AH623" s="267"/>
      <c r="AI623" s="267"/>
    </row>
    <row r="624" spans="1:35" ht="104">
      <c r="A624" s="11"/>
      <c r="B624" s="277" t="s">
        <v>1662</v>
      </c>
      <c r="C624" s="10" t="s">
        <v>1663</v>
      </c>
      <c r="D624" s="11"/>
      <c r="E624" s="11"/>
      <c r="F624" s="270"/>
      <c r="G624" s="11"/>
      <c r="H624" s="11"/>
      <c r="I624" s="11"/>
      <c r="J624" s="208" t="s">
        <v>71</v>
      </c>
      <c r="K624" s="11"/>
      <c r="L624" s="11"/>
      <c r="M624" s="11"/>
      <c r="N624" s="11"/>
      <c r="O624" s="11"/>
      <c r="P624" s="263"/>
      <c r="Q624" s="263"/>
      <c r="R624" s="264"/>
      <c r="S624" s="264"/>
      <c r="T624" s="264"/>
      <c r="U624" s="11"/>
      <c r="V624" s="11"/>
      <c r="W624" s="11"/>
      <c r="X624" s="11"/>
      <c r="Y624" s="11"/>
      <c r="Z624" s="11"/>
      <c r="AA624" s="11"/>
      <c r="AB624" s="265"/>
      <c r="AC624" s="11"/>
      <c r="AD624" s="11"/>
      <c r="AE624" s="11"/>
      <c r="AF624" s="11"/>
      <c r="AG624" s="266"/>
      <c r="AH624" s="267"/>
      <c r="AI624" s="267"/>
    </row>
    <row r="625" spans="1:35" ht="154">
      <c r="A625" s="11"/>
      <c r="B625" s="277" t="s">
        <v>1666</v>
      </c>
      <c r="C625" s="10" t="s">
        <v>1668</v>
      </c>
      <c r="D625" s="11"/>
      <c r="E625" s="11"/>
      <c r="F625" s="270"/>
      <c r="G625" s="11"/>
      <c r="H625" s="11"/>
      <c r="I625" s="11"/>
      <c r="J625" s="208" t="s">
        <v>55</v>
      </c>
      <c r="K625" s="208" t="s">
        <v>2130</v>
      </c>
      <c r="L625" s="11"/>
      <c r="M625" s="11"/>
      <c r="N625" s="11"/>
      <c r="O625" s="11"/>
      <c r="P625" s="263"/>
      <c r="Q625" s="263"/>
      <c r="R625" s="264"/>
      <c r="S625" s="264"/>
      <c r="T625" s="264"/>
      <c r="U625" s="11"/>
      <c r="V625" s="11"/>
      <c r="W625" s="11"/>
      <c r="X625" s="11"/>
      <c r="Y625" s="11"/>
      <c r="Z625" s="11"/>
      <c r="AA625" s="11"/>
      <c r="AB625" s="265"/>
      <c r="AC625" s="11"/>
      <c r="AD625" s="11"/>
      <c r="AE625" s="11"/>
      <c r="AF625" s="11"/>
      <c r="AG625" s="266"/>
      <c r="AH625" s="267"/>
      <c r="AI625" s="267"/>
    </row>
    <row r="626" spans="1:35" ht="14">
      <c r="A626" s="246" t="s">
        <v>1728</v>
      </c>
      <c r="B626" s="192" t="s">
        <v>2131</v>
      </c>
      <c r="C626" s="244"/>
      <c r="D626" s="84"/>
      <c r="E626" s="84"/>
      <c r="F626" s="193"/>
      <c r="G626" s="84"/>
      <c r="H626" s="84"/>
      <c r="I626" s="84"/>
      <c r="J626" s="244"/>
      <c r="K626" s="84"/>
      <c r="L626" s="244"/>
      <c r="M626" s="244"/>
      <c r="N626" s="244"/>
      <c r="O626" s="84"/>
      <c r="P626" s="85"/>
      <c r="Q626" s="85"/>
      <c r="R626" s="245"/>
      <c r="S626" s="86"/>
      <c r="T626" s="86"/>
      <c r="U626" s="84"/>
      <c r="V626" s="84"/>
      <c r="W626" s="84"/>
      <c r="X626" s="84"/>
      <c r="Y626" s="84"/>
      <c r="Z626" s="84"/>
      <c r="AA626" s="194"/>
      <c r="AB626" s="195"/>
      <c r="AC626" s="84"/>
      <c r="AD626" s="84"/>
      <c r="AE626" s="84"/>
      <c r="AF626" s="8"/>
      <c r="AG626" s="33"/>
      <c r="AH626" s="34"/>
      <c r="AI626" s="35"/>
    </row>
    <row r="627" spans="1:35" ht="13">
      <c r="A627" s="11"/>
      <c r="B627" s="11"/>
      <c r="C627" s="11"/>
      <c r="D627" s="11"/>
      <c r="E627" s="11"/>
      <c r="F627" s="270"/>
      <c r="G627" s="11"/>
      <c r="H627" s="11"/>
      <c r="I627" s="11"/>
      <c r="J627" s="11"/>
      <c r="K627" s="11"/>
      <c r="L627" s="11"/>
      <c r="M627" s="11"/>
      <c r="N627" s="11"/>
      <c r="O627" s="11"/>
      <c r="P627" s="263"/>
      <c r="Q627" s="263"/>
      <c r="R627" s="264"/>
      <c r="S627" s="264"/>
      <c r="T627" s="264"/>
      <c r="U627" s="11"/>
      <c r="V627" s="11"/>
      <c r="W627" s="11"/>
      <c r="X627" s="11"/>
      <c r="Y627" s="11"/>
      <c r="Z627" s="11"/>
      <c r="AA627" s="11"/>
      <c r="AB627" s="265"/>
      <c r="AC627" s="11"/>
      <c r="AD627" s="11"/>
      <c r="AE627" s="11"/>
      <c r="AF627" s="11"/>
      <c r="AG627" s="266"/>
      <c r="AH627" s="267"/>
      <c r="AI627" s="267"/>
    </row>
    <row r="628" spans="1:35" ht="13">
      <c r="A628" s="11"/>
      <c r="B628" s="11"/>
      <c r="C628" s="11"/>
      <c r="D628" s="11"/>
      <c r="E628" s="11"/>
      <c r="F628" s="270"/>
      <c r="G628" s="11"/>
      <c r="H628" s="11"/>
      <c r="I628" s="11"/>
      <c r="J628" s="11"/>
      <c r="K628" s="11"/>
      <c r="L628" s="11"/>
      <c r="M628" s="11"/>
      <c r="N628" s="11"/>
      <c r="O628" s="11"/>
      <c r="P628" s="263"/>
      <c r="Q628" s="263"/>
      <c r="R628" s="264"/>
      <c r="S628" s="264"/>
      <c r="T628" s="264"/>
      <c r="U628" s="11"/>
      <c r="V628" s="11"/>
      <c r="W628" s="11"/>
      <c r="X628" s="11"/>
      <c r="Y628" s="11"/>
      <c r="Z628" s="11"/>
      <c r="AA628" s="11"/>
      <c r="AB628" s="265"/>
      <c r="AC628" s="11"/>
      <c r="AD628" s="11"/>
      <c r="AE628" s="11"/>
      <c r="AF628" s="11"/>
      <c r="AG628" s="266"/>
      <c r="AH628" s="267"/>
      <c r="AI628" s="267"/>
    </row>
    <row r="629" spans="1:35" ht="13">
      <c r="A629" s="11"/>
      <c r="B629" s="11"/>
      <c r="C629" s="11"/>
      <c r="D629" s="11"/>
      <c r="E629" s="11"/>
      <c r="F629" s="270"/>
      <c r="G629" s="11"/>
      <c r="H629" s="11"/>
      <c r="I629" s="11"/>
      <c r="J629" s="11"/>
      <c r="K629" s="11"/>
      <c r="L629" s="11"/>
      <c r="M629" s="11"/>
      <c r="N629" s="11"/>
      <c r="O629" s="11"/>
      <c r="P629" s="263"/>
      <c r="Q629" s="263"/>
      <c r="R629" s="264"/>
      <c r="S629" s="264"/>
      <c r="T629" s="264"/>
      <c r="U629" s="11"/>
      <c r="V629" s="11"/>
      <c r="W629" s="11"/>
      <c r="X629" s="11"/>
      <c r="Y629" s="11"/>
      <c r="Z629" s="11"/>
      <c r="AA629" s="11"/>
      <c r="AB629" s="265"/>
      <c r="AC629" s="11"/>
      <c r="AD629" s="11"/>
      <c r="AE629" s="11"/>
      <c r="AF629" s="11"/>
      <c r="AG629" s="266"/>
      <c r="AH629" s="267"/>
      <c r="AI629" s="267"/>
    </row>
    <row r="630" spans="1:35" ht="13">
      <c r="A630" s="11"/>
      <c r="B630" s="11"/>
      <c r="C630" s="11"/>
      <c r="D630" s="11"/>
      <c r="E630" s="11"/>
      <c r="F630" s="270"/>
      <c r="G630" s="11"/>
      <c r="H630" s="11"/>
      <c r="I630" s="11"/>
      <c r="J630" s="11"/>
      <c r="K630" s="11"/>
      <c r="L630" s="11"/>
      <c r="M630" s="11"/>
      <c r="N630" s="11"/>
      <c r="O630" s="11"/>
      <c r="P630" s="263"/>
      <c r="Q630" s="263"/>
      <c r="R630" s="264"/>
      <c r="S630" s="264"/>
      <c r="T630" s="264"/>
      <c r="U630" s="11"/>
      <c r="V630" s="11"/>
      <c r="W630" s="11"/>
      <c r="X630" s="11"/>
      <c r="Y630" s="11"/>
      <c r="Z630" s="11"/>
      <c r="AA630" s="11"/>
      <c r="AB630" s="265"/>
      <c r="AC630" s="11"/>
      <c r="AD630" s="11"/>
      <c r="AE630" s="11"/>
      <c r="AF630" s="11"/>
      <c r="AG630" s="266"/>
      <c r="AH630" s="267"/>
      <c r="AI630" s="267"/>
    </row>
    <row r="631" spans="1:35" ht="13">
      <c r="A631" s="11"/>
      <c r="B631" s="11"/>
      <c r="C631" s="11"/>
      <c r="D631" s="11"/>
      <c r="E631" s="11"/>
      <c r="F631" s="270"/>
      <c r="G631" s="11"/>
      <c r="H631" s="11"/>
      <c r="I631" s="11"/>
      <c r="J631" s="11"/>
      <c r="K631" s="11"/>
      <c r="L631" s="11"/>
      <c r="M631" s="11"/>
      <c r="N631" s="11"/>
      <c r="O631" s="11"/>
      <c r="P631" s="263"/>
      <c r="Q631" s="263"/>
      <c r="R631" s="264"/>
      <c r="S631" s="264"/>
      <c r="T631" s="264"/>
      <c r="U631" s="11"/>
      <c r="V631" s="11"/>
      <c r="W631" s="11"/>
      <c r="X631" s="11"/>
      <c r="Y631" s="11"/>
      <c r="Z631" s="11"/>
      <c r="AA631" s="11"/>
      <c r="AB631" s="265"/>
      <c r="AC631" s="11"/>
      <c r="AD631" s="11"/>
      <c r="AE631" s="11"/>
      <c r="AF631" s="11"/>
      <c r="AG631" s="266"/>
      <c r="AH631" s="267"/>
      <c r="AI631" s="267"/>
    </row>
    <row r="632" spans="1:35" ht="13">
      <c r="A632" s="11"/>
      <c r="B632" s="11"/>
      <c r="C632" s="11"/>
      <c r="D632" s="11"/>
      <c r="E632" s="11"/>
      <c r="F632" s="270"/>
      <c r="G632" s="11"/>
      <c r="H632" s="11"/>
      <c r="I632" s="11"/>
      <c r="J632" s="11"/>
      <c r="K632" s="11"/>
      <c r="L632" s="11"/>
      <c r="M632" s="11"/>
      <c r="N632" s="11"/>
      <c r="O632" s="11"/>
      <c r="P632" s="263"/>
      <c r="Q632" s="263"/>
      <c r="R632" s="264"/>
      <c r="S632" s="264"/>
      <c r="T632" s="264"/>
      <c r="U632" s="11"/>
      <c r="V632" s="11"/>
      <c r="W632" s="11"/>
      <c r="X632" s="11"/>
      <c r="Y632" s="11"/>
      <c r="Z632" s="11"/>
      <c r="AA632" s="11"/>
      <c r="AB632" s="265"/>
      <c r="AC632" s="11"/>
      <c r="AD632" s="11"/>
      <c r="AE632" s="11"/>
      <c r="AF632" s="11"/>
      <c r="AG632" s="266"/>
      <c r="AH632" s="267"/>
      <c r="AI632" s="267"/>
    </row>
    <row r="633" spans="1:35" ht="13">
      <c r="A633" s="11"/>
      <c r="B633" s="11"/>
      <c r="C633" s="11"/>
      <c r="D633" s="11"/>
      <c r="E633" s="11"/>
      <c r="F633" s="270"/>
      <c r="G633" s="11"/>
      <c r="H633" s="11"/>
      <c r="I633" s="11"/>
      <c r="J633" s="11"/>
      <c r="K633" s="11"/>
      <c r="L633" s="11"/>
      <c r="M633" s="11"/>
      <c r="N633" s="11"/>
      <c r="O633" s="11"/>
      <c r="P633" s="263"/>
      <c r="Q633" s="263"/>
      <c r="R633" s="264"/>
      <c r="S633" s="264"/>
      <c r="T633" s="264"/>
      <c r="U633" s="11"/>
      <c r="V633" s="11"/>
      <c r="W633" s="11"/>
      <c r="X633" s="11"/>
      <c r="Y633" s="11"/>
      <c r="Z633" s="11"/>
      <c r="AA633" s="11"/>
      <c r="AB633" s="265"/>
      <c r="AC633" s="11"/>
      <c r="AD633" s="11"/>
      <c r="AE633" s="11"/>
      <c r="AF633" s="11"/>
      <c r="AG633" s="266"/>
      <c r="AH633" s="267"/>
      <c r="AI633" s="267"/>
    </row>
    <row r="634" spans="1:35" ht="13">
      <c r="A634" s="11"/>
      <c r="B634" s="11"/>
      <c r="C634" s="11"/>
      <c r="D634" s="11"/>
      <c r="E634" s="11"/>
      <c r="F634" s="270"/>
      <c r="G634" s="11"/>
      <c r="H634" s="11"/>
      <c r="I634" s="11"/>
      <c r="J634" s="11"/>
      <c r="K634" s="11"/>
      <c r="L634" s="11"/>
      <c r="M634" s="11"/>
      <c r="N634" s="11"/>
      <c r="O634" s="11"/>
      <c r="P634" s="263"/>
      <c r="Q634" s="263"/>
      <c r="R634" s="264"/>
      <c r="S634" s="264"/>
      <c r="T634" s="264"/>
      <c r="U634" s="11"/>
      <c r="V634" s="11"/>
      <c r="W634" s="11"/>
      <c r="X634" s="11"/>
      <c r="Y634" s="11"/>
      <c r="Z634" s="11"/>
      <c r="AA634" s="11"/>
      <c r="AB634" s="265"/>
      <c r="AC634" s="11"/>
      <c r="AD634" s="11"/>
      <c r="AE634" s="11"/>
      <c r="AF634" s="11"/>
      <c r="AG634" s="266"/>
      <c r="AH634" s="267"/>
      <c r="AI634" s="267"/>
    </row>
    <row r="635" spans="1:35" ht="13">
      <c r="A635" s="11"/>
      <c r="B635" s="11"/>
      <c r="C635" s="11"/>
      <c r="D635" s="11"/>
      <c r="E635" s="11"/>
      <c r="F635" s="270"/>
      <c r="G635" s="11"/>
      <c r="H635" s="11"/>
      <c r="I635" s="11"/>
      <c r="J635" s="11"/>
      <c r="K635" s="11"/>
      <c r="L635" s="11"/>
      <c r="M635" s="11"/>
      <c r="N635" s="11"/>
      <c r="O635" s="11"/>
      <c r="P635" s="263"/>
      <c r="Q635" s="263"/>
      <c r="R635" s="264"/>
      <c r="S635" s="264"/>
      <c r="T635" s="264"/>
      <c r="U635" s="11"/>
      <c r="V635" s="11"/>
      <c r="W635" s="11"/>
      <c r="X635" s="11"/>
      <c r="Y635" s="11"/>
      <c r="Z635" s="11"/>
      <c r="AA635" s="11"/>
      <c r="AB635" s="265"/>
      <c r="AC635" s="11"/>
      <c r="AD635" s="11"/>
      <c r="AE635" s="11"/>
      <c r="AF635" s="11"/>
      <c r="AG635" s="266"/>
      <c r="AH635" s="267"/>
      <c r="AI635" s="267"/>
    </row>
    <row r="636" spans="1:35" ht="13">
      <c r="A636" s="11"/>
      <c r="B636" s="11"/>
      <c r="C636" s="11"/>
      <c r="D636" s="11"/>
      <c r="E636" s="11"/>
      <c r="F636" s="270"/>
      <c r="G636" s="11"/>
      <c r="H636" s="11"/>
      <c r="I636" s="11"/>
      <c r="J636" s="11"/>
      <c r="K636" s="11"/>
      <c r="L636" s="11"/>
      <c r="M636" s="11"/>
      <c r="N636" s="11"/>
      <c r="O636" s="11"/>
      <c r="P636" s="263"/>
      <c r="Q636" s="263"/>
      <c r="R636" s="264"/>
      <c r="S636" s="264"/>
      <c r="T636" s="264"/>
      <c r="U636" s="11"/>
      <c r="V636" s="11"/>
      <c r="W636" s="11"/>
      <c r="X636" s="11"/>
      <c r="Y636" s="11"/>
      <c r="Z636" s="11"/>
      <c r="AA636" s="11"/>
      <c r="AB636" s="265"/>
      <c r="AC636" s="11"/>
      <c r="AD636" s="11"/>
      <c r="AE636" s="11"/>
      <c r="AF636" s="11"/>
      <c r="AG636" s="266"/>
      <c r="AH636" s="267"/>
      <c r="AI636" s="267"/>
    </row>
    <row r="637" spans="1:35" ht="13">
      <c r="A637" s="11"/>
      <c r="B637" s="11"/>
      <c r="C637" s="11"/>
      <c r="D637" s="11"/>
      <c r="E637" s="11"/>
      <c r="F637" s="270"/>
      <c r="G637" s="11"/>
      <c r="H637" s="11"/>
      <c r="I637" s="11"/>
      <c r="J637" s="11"/>
      <c r="K637" s="11"/>
      <c r="L637" s="11"/>
      <c r="M637" s="11"/>
      <c r="N637" s="11"/>
      <c r="O637" s="11"/>
      <c r="P637" s="263"/>
      <c r="Q637" s="263"/>
      <c r="R637" s="264"/>
      <c r="S637" s="264"/>
      <c r="T637" s="264"/>
      <c r="U637" s="11"/>
      <c r="V637" s="11"/>
      <c r="W637" s="11"/>
      <c r="X637" s="11"/>
      <c r="Y637" s="11"/>
      <c r="Z637" s="11"/>
      <c r="AA637" s="11"/>
      <c r="AB637" s="265"/>
      <c r="AC637" s="11"/>
      <c r="AD637" s="11"/>
      <c r="AE637" s="11"/>
      <c r="AF637" s="11"/>
      <c r="AG637" s="266"/>
      <c r="AH637" s="267"/>
      <c r="AI637" s="267"/>
    </row>
    <row r="638" spans="1:35" ht="13">
      <c r="A638" s="11"/>
      <c r="B638" s="11"/>
      <c r="C638" s="11"/>
      <c r="D638" s="11"/>
      <c r="E638" s="11"/>
      <c r="F638" s="270"/>
      <c r="G638" s="11"/>
      <c r="H638" s="11"/>
      <c r="I638" s="11"/>
      <c r="J638" s="11"/>
      <c r="K638" s="11"/>
      <c r="L638" s="11"/>
      <c r="M638" s="11"/>
      <c r="N638" s="11"/>
      <c r="O638" s="11"/>
      <c r="P638" s="263"/>
      <c r="Q638" s="263"/>
      <c r="R638" s="264"/>
      <c r="S638" s="264"/>
      <c r="T638" s="264"/>
      <c r="U638" s="11"/>
      <c r="V638" s="11"/>
      <c r="W638" s="11"/>
      <c r="X638" s="11"/>
      <c r="Y638" s="11"/>
      <c r="Z638" s="11"/>
      <c r="AA638" s="11"/>
      <c r="AB638" s="265"/>
      <c r="AC638" s="11"/>
      <c r="AD638" s="11"/>
      <c r="AE638" s="11"/>
      <c r="AF638" s="11"/>
      <c r="AG638" s="266"/>
      <c r="AH638" s="267"/>
      <c r="AI638" s="267"/>
    </row>
    <row r="639" spans="1:35" ht="13">
      <c r="A639" s="11"/>
      <c r="B639" s="11"/>
      <c r="C639" s="11"/>
      <c r="D639" s="11"/>
      <c r="E639" s="11"/>
      <c r="F639" s="270"/>
      <c r="G639" s="11"/>
      <c r="H639" s="11"/>
      <c r="I639" s="11"/>
      <c r="J639" s="11"/>
      <c r="K639" s="11"/>
      <c r="L639" s="11"/>
      <c r="M639" s="11"/>
      <c r="N639" s="11"/>
      <c r="O639" s="11"/>
      <c r="P639" s="263"/>
      <c r="Q639" s="263"/>
      <c r="R639" s="264"/>
      <c r="S639" s="264"/>
      <c r="T639" s="264"/>
      <c r="U639" s="11"/>
      <c r="V639" s="11"/>
      <c r="W639" s="11"/>
      <c r="X639" s="11"/>
      <c r="Y639" s="11"/>
      <c r="Z639" s="11"/>
      <c r="AA639" s="11"/>
      <c r="AB639" s="265"/>
      <c r="AC639" s="11"/>
      <c r="AD639" s="11"/>
      <c r="AE639" s="11"/>
      <c r="AF639" s="11"/>
      <c r="AG639" s="266"/>
      <c r="AH639" s="267"/>
      <c r="AI639" s="267"/>
    </row>
    <row r="640" spans="1:35" ht="13">
      <c r="A640" s="11"/>
      <c r="B640" s="11"/>
      <c r="C640" s="11"/>
      <c r="D640" s="11"/>
      <c r="E640" s="11"/>
      <c r="F640" s="270"/>
      <c r="G640" s="11"/>
      <c r="H640" s="11"/>
      <c r="I640" s="11"/>
      <c r="J640" s="11"/>
      <c r="K640" s="11"/>
      <c r="L640" s="11"/>
      <c r="M640" s="11"/>
      <c r="N640" s="11"/>
      <c r="O640" s="11"/>
      <c r="P640" s="263"/>
      <c r="Q640" s="263"/>
      <c r="R640" s="264"/>
      <c r="S640" s="264"/>
      <c r="T640" s="264"/>
      <c r="U640" s="11"/>
      <c r="V640" s="11"/>
      <c r="W640" s="11"/>
      <c r="X640" s="11"/>
      <c r="Y640" s="11"/>
      <c r="Z640" s="11"/>
      <c r="AA640" s="11"/>
      <c r="AB640" s="265"/>
      <c r="AC640" s="11"/>
      <c r="AD640" s="11"/>
      <c r="AE640" s="11"/>
      <c r="AF640" s="11"/>
      <c r="AG640" s="266"/>
      <c r="AH640" s="267"/>
      <c r="AI640" s="267"/>
    </row>
    <row r="641" spans="1:35" ht="13">
      <c r="A641" s="11"/>
      <c r="B641" s="11"/>
      <c r="C641" s="11"/>
      <c r="D641" s="11"/>
      <c r="E641" s="11"/>
      <c r="F641" s="270"/>
      <c r="G641" s="11"/>
      <c r="H641" s="11"/>
      <c r="I641" s="11"/>
      <c r="J641" s="11"/>
      <c r="K641" s="11"/>
      <c r="L641" s="11"/>
      <c r="M641" s="11"/>
      <c r="N641" s="11"/>
      <c r="O641" s="11"/>
      <c r="P641" s="263"/>
      <c r="Q641" s="263"/>
      <c r="R641" s="264"/>
      <c r="S641" s="264"/>
      <c r="T641" s="264"/>
      <c r="U641" s="11"/>
      <c r="V641" s="11"/>
      <c r="W641" s="11"/>
      <c r="X641" s="11"/>
      <c r="Y641" s="11"/>
      <c r="Z641" s="11"/>
      <c r="AA641" s="11"/>
      <c r="AB641" s="265"/>
      <c r="AC641" s="11"/>
      <c r="AD641" s="11"/>
      <c r="AE641" s="11"/>
      <c r="AF641" s="11"/>
      <c r="AG641" s="266"/>
      <c r="AH641" s="267"/>
      <c r="AI641" s="267"/>
    </row>
    <row r="642" spans="1:35" ht="13">
      <c r="A642" s="11"/>
      <c r="B642" s="11"/>
      <c r="C642" s="11"/>
      <c r="D642" s="11"/>
      <c r="E642" s="11"/>
      <c r="F642" s="270"/>
      <c r="G642" s="11"/>
      <c r="H642" s="11"/>
      <c r="I642" s="11"/>
      <c r="J642" s="11"/>
      <c r="K642" s="11"/>
      <c r="L642" s="11"/>
      <c r="M642" s="11"/>
      <c r="N642" s="11"/>
      <c r="O642" s="11"/>
      <c r="P642" s="263"/>
      <c r="Q642" s="263"/>
      <c r="R642" s="264"/>
      <c r="S642" s="264"/>
      <c r="T642" s="264"/>
      <c r="U642" s="11"/>
      <c r="V642" s="11"/>
      <c r="W642" s="11"/>
      <c r="X642" s="11"/>
      <c r="Y642" s="11"/>
      <c r="Z642" s="11"/>
      <c r="AA642" s="11"/>
      <c r="AB642" s="265"/>
      <c r="AC642" s="11"/>
      <c r="AD642" s="11"/>
      <c r="AE642" s="11"/>
      <c r="AF642" s="11"/>
      <c r="AG642" s="266"/>
      <c r="AH642" s="267"/>
      <c r="AI642" s="267"/>
    </row>
    <row r="643" spans="1:35" ht="13">
      <c r="A643" s="11"/>
      <c r="B643" s="11"/>
      <c r="C643" s="11"/>
      <c r="D643" s="11"/>
      <c r="E643" s="11"/>
      <c r="F643" s="270"/>
      <c r="G643" s="11"/>
      <c r="H643" s="11"/>
      <c r="I643" s="11"/>
      <c r="J643" s="11"/>
      <c r="K643" s="11"/>
      <c r="L643" s="11"/>
      <c r="M643" s="11"/>
      <c r="N643" s="11"/>
      <c r="O643" s="11"/>
      <c r="P643" s="263"/>
      <c r="Q643" s="263"/>
      <c r="R643" s="264"/>
      <c r="S643" s="264"/>
      <c r="T643" s="264"/>
      <c r="U643" s="11"/>
      <c r="V643" s="11"/>
      <c r="W643" s="11"/>
      <c r="X643" s="11"/>
      <c r="Y643" s="11"/>
      <c r="Z643" s="11"/>
      <c r="AA643" s="11"/>
      <c r="AB643" s="265"/>
      <c r="AC643" s="11"/>
      <c r="AD643" s="11"/>
      <c r="AE643" s="11"/>
      <c r="AF643" s="11"/>
      <c r="AG643" s="266"/>
      <c r="AH643" s="267"/>
      <c r="AI643" s="267"/>
    </row>
    <row r="644" spans="1:35" ht="13">
      <c r="A644" s="11"/>
      <c r="B644" s="11"/>
      <c r="C644" s="11"/>
      <c r="D644" s="11"/>
      <c r="E644" s="11"/>
      <c r="F644" s="270"/>
      <c r="G644" s="11"/>
      <c r="H644" s="11"/>
      <c r="I644" s="11"/>
      <c r="J644" s="11"/>
      <c r="K644" s="11"/>
      <c r="L644" s="11"/>
      <c r="M644" s="11"/>
      <c r="N644" s="11"/>
      <c r="O644" s="11"/>
      <c r="P644" s="263"/>
      <c r="Q644" s="263"/>
      <c r="R644" s="264"/>
      <c r="S644" s="264"/>
      <c r="T644" s="264"/>
      <c r="U644" s="11"/>
      <c r="V644" s="11"/>
      <c r="W644" s="11"/>
      <c r="X644" s="11"/>
      <c r="Y644" s="11"/>
      <c r="Z644" s="11"/>
      <c r="AA644" s="11"/>
      <c r="AB644" s="265"/>
      <c r="AC644" s="11"/>
      <c r="AD644" s="11"/>
      <c r="AE644" s="11"/>
      <c r="AF644" s="11"/>
      <c r="AG644" s="266"/>
      <c r="AH644" s="267"/>
      <c r="AI644" s="267"/>
    </row>
    <row r="645" spans="1:35" ht="13">
      <c r="A645" s="11"/>
      <c r="B645" s="11"/>
      <c r="C645" s="11"/>
      <c r="D645" s="11"/>
      <c r="E645" s="11"/>
      <c r="F645" s="270"/>
      <c r="G645" s="11"/>
      <c r="H645" s="11"/>
      <c r="I645" s="11"/>
      <c r="J645" s="11"/>
      <c r="K645" s="11"/>
      <c r="L645" s="11"/>
      <c r="M645" s="11"/>
      <c r="N645" s="11"/>
      <c r="O645" s="11"/>
      <c r="P645" s="263"/>
      <c r="Q645" s="263"/>
      <c r="R645" s="264"/>
      <c r="S645" s="264"/>
      <c r="T645" s="264"/>
      <c r="U645" s="11"/>
      <c r="V645" s="11"/>
      <c r="W645" s="11"/>
      <c r="X645" s="11"/>
      <c r="Y645" s="11"/>
      <c r="Z645" s="11"/>
      <c r="AA645" s="11"/>
      <c r="AB645" s="265"/>
      <c r="AC645" s="11"/>
      <c r="AD645" s="11"/>
      <c r="AE645" s="11"/>
      <c r="AF645" s="11"/>
      <c r="AG645" s="266"/>
      <c r="AH645" s="267"/>
      <c r="AI645" s="267"/>
    </row>
    <row r="646" spans="1:35" ht="13">
      <c r="A646" s="11"/>
      <c r="B646" s="11"/>
      <c r="C646" s="11"/>
      <c r="D646" s="11"/>
      <c r="E646" s="11"/>
      <c r="F646" s="270"/>
      <c r="G646" s="11"/>
      <c r="H646" s="11"/>
      <c r="I646" s="11"/>
      <c r="J646" s="11"/>
      <c r="K646" s="11"/>
      <c r="L646" s="11"/>
      <c r="M646" s="11"/>
      <c r="N646" s="11"/>
      <c r="O646" s="11"/>
      <c r="P646" s="263"/>
      <c r="Q646" s="263"/>
      <c r="R646" s="264"/>
      <c r="S646" s="264"/>
      <c r="T646" s="264"/>
      <c r="U646" s="11"/>
      <c r="V646" s="11"/>
      <c r="W646" s="11"/>
      <c r="X646" s="11"/>
      <c r="Y646" s="11"/>
      <c r="Z646" s="11"/>
      <c r="AA646" s="11"/>
      <c r="AB646" s="265"/>
      <c r="AC646" s="11"/>
      <c r="AD646" s="11"/>
      <c r="AE646" s="11"/>
      <c r="AF646" s="11"/>
      <c r="AG646" s="266"/>
      <c r="AH646" s="267"/>
      <c r="AI646" s="267"/>
    </row>
    <row r="647" spans="1:35" ht="13">
      <c r="A647" s="11"/>
      <c r="B647" s="11"/>
      <c r="C647" s="11"/>
      <c r="D647" s="11"/>
      <c r="E647" s="11"/>
      <c r="F647" s="270"/>
      <c r="G647" s="11"/>
      <c r="H647" s="11"/>
      <c r="I647" s="11"/>
      <c r="J647" s="11"/>
      <c r="K647" s="11"/>
      <c r="L647" s="11"/>
      <c r="M647" s="11"/>
      <c r="N647" s="11"/>
      <c r="O647" s="11"/>
      <c r="P647" s="263"/>
      <c r="Q647" s="263"/>
      <c r="R647" s="264"/>
      <c r="S647" s="264"/>
      <c r="T647" s="264"/>
      <c r="U647" s="11"/>
      <c r="V647" s="11"/>
      <c r="W647" s="11"/>
      <c r="X647" s="11"/>
      <c r="Y647" s="11"/>
      <c r="Z647" s="11"/>
      <c r="AA647" s="11"/>
      <c r="AB647" s="265"/>
      <c r="AC647" s="11"/>
      <c r="AD647" s="11"/>
      <c r="AE647" s="11"/>
      <c r="AF647" s="11"/>
      <c r="AG647" s="266"/>
      <c r="AH647" s="267"/>
      <c r="AI647" s="267"/>
    </row>
    <row r="648" spans="1:35" ht="13">
      <c r="A648" s="11"/>
      <c r="B648" s="11"/>
      <c r="C648" s="11"/>
      <c r="D648" s="11"/>
      <c r="E648" s="11"/>
      <c r="F648" s="270"/>
      <c r="G648" s="11"/>
      <c r="H648" s="11"/>
      <c r="I648" s="11"/>
      <c r="J648" s="11"/>
      <c r="K648" s="11"/>
      <c r="L648" s="11"/>
      <c r="M648" s="11"/>
      <c r="N648" s="11"/>
      <c r="O648" s="11"/>
      <c r="P648" s="263"/>
      <c r="Q648" s="263"/>
      <c r="R648" s="264"/>
      <c r="S648" s="264"/>
      <c r="T648" s="264"/>
      <c r="U648" s="11"/>
      <c r="V648" s="11"/>
      <c r="W648" s="11"/>
      <c r="X648" s="11"/>
      <c r="Y648" s="11"/>
      <c r="Z648" s="11"/>
      <c r="AA648" s="11"/>
      <c r="AB648" s="265"/>
      <c r="AC648" s="11"/>
      <c r="AD648" s="11"/>
      <c r="AE648" s="11"/>
      <c r="AF648" s="11"/>
      <c r="AG648" s="266"/>
      <c r="AH648" s="267"/>
      <c r="AI648" s="267"/>
    </row>
    <row r="649" spans="1:35" ht="13">
      <c r="A649" s="11"/>
      <c r="B649" s="11"/>
      <c r="C649" s="11"/>
      <c r="D649" s="11"/>
      <c r="E649" s="11"/>
      <c r="F649" s="270"/>
      <c r="G649" s="11"/>
      <c r="H649" s="11"/>
      <c r="I649" s="11"/>
      <c r="J649" s="11"/>
      <c r="K649" s="11"/>
      <c r="L649" s="11"/>
      <c r="M649" s="11"/>
      <c r="N649" s="11"/>
      <c r="O649" s="11"/>
      <c r="P649" s="263"/>
      <c r="Q649" s="263"/>
      <c r="R649" s="264"/>
      <c r="S649" s="264"/>
      <c r="T649" s="264"/>
      <c r="U649" s="11"/>
      <c r="V649" s="11"/>
      <c r="W649" s="11"/>
      <c r="X649" s="11"/>
      <c r="Y649" s="11"/>
      <c r="Z649" s="11"/>
      <c r="AA649" s="11"/>
      <c r="AB649" s="265"/>
      <c r="AC649" s="11"/>
      <c r="AD649" s="11"/>
      <c r="AE649" s="11"/>
      <c r="AF649" s="11"/>
      <c r="AG649" s="266"/>
      <c r="AH649" s="267"/>
      <c r="AI649" s="267"/>
    </row>
    <row r="650" spans="1:35" ht="13">
      <c r="A650" s="11"/>
      <c r="B650" s="11"/>
      <c r="C650" s="11"/>
      <c r="D650" s="11"/>
      <c r="E650" s="11"/>
      <c r="F650" s="270"/>
      <c r="G650" s="11"/>
      <c r="H650" s="11"/>
      <c r="I650" s="11"/>
      <c r="J650" s="11"/>
      <c r="K650" s="11"/>
      <c r="L650" s="11"/>
      <c r="M650" s="11"/>
      <c r="N650" s="11"/>
      <c r="O650" s="11"/>
      <c r="P650" s="263"/>
      <c r="Q650" s="263"/>
      <c r="R650" s="264"/>
      <c r="S650" s="264"/>
      <c r="T650" s="264"/>
      <c r="U650" s="11"/>
      <c r="V650" s="11"/>
      <c r="W650" s="11"/>
      <c r="X650" s="11"/>
      <c r="Y650" s="11"/>
      <c r="Z650" s="11"/>
      <c r="AA650" s="11"/>
      <c r="AB650" s="265"/>
      <c r="AC650" s="11"/>
      <c r="AD650" s="11"/>
      <c r="AE650" s="11"/>
      <c r="AF650" s="11"/>
      <c r="AG650" s="266"/>
      <c r="AH650" s="267"/>
      <c r="AI650" s="267"/>
    </row>
    <row r="651" spans="1:35" ht="13">
      <c r="A651" s="11"/>
      <c r="B651" s="11"/>
      <c r="C651" s="11"/>
      <c r="D651" s="11"/>
      <c r="E651" s="11"/>
      <c r="F651" s="270"/>
      <c r="G651" s="11"/>
      <c r="H651" s="11"/>
      <c r="I651" s="11"/>
      <c r="J651" s="11"/>
      <c r="K651" s="11"/>
      <c r="L651" s="11"/>
      <c r="M651" s="11"/>
      <c r="N651" s="11"/>
      <c r="O651" s="11"/>
      <c r="P651" s="263"/>
      <c r="Q651" s="263"/>
      <c r="R651" s="264"/>
      <c r="S651" s="264"/>
      <c r="T651" s="264"/>
      <c r="U651" s="11"/>
      <c r="V651" s="11"/>
      <c r="W651" s="11"/>
      <c r="X651" s="11"/>
      <c r="Y651" s="11"/>
      <c r="Z651" s="11"/>
      <c r="AA651" s="11"/>
      <c r="AB651" s="265"/>
      <c r="AC651" s="11"/>
      <c r="AD651" s="11"/>
      <c r="AE651" s="11"/>
      <c r="AF651" s="11"/>
      <c r="AG651" s="266"/>
      <c r="AH651" s="267"/>
      <c r="AI651" s="267"/>
    </row>
    <row r="652" spans="1:35" ht="13">
      <c r="A652" s="11"/>
      <c r="B652" s="11"/>
      <c r="C652" s="11"/>
      <c r="D652" s="11"/>
      <c r="E652" s="11"/>
      <c r="F652" s="270"/>
      <c r="G652" s="11"/>
      <c r="H652" s="11"/>
      <c r="I652" s="11"/>
      <c r="J652" s="11"/>
      <c r="K652" s="11"/>
      <c r="L652" s="11"/>
      <c r="M652" s="11"/>
      <c r="N652" s="11"/>
      <c r="O652" s="11"/>
      <c r="P652" s="263"/>
      <c r="Q652" s="263"/>
      <c r="R652" s="264"/>
      <c r="S652" s="264"/>
      <c r="T652" s="264"/>
      <c r="U652" s="11"/>
      <c r="V652" s="11"/>
      <c r="W652" s="11"/>
      <c r="X652" s="11"/>
      <c r="Y652" s="11"/>
      <c r="Z652" s="11"/>
      <c r="AA652" s="11"/>
      <c r="AB652" s="265"/>
      <c r="AC652" s="11"/>
      <c r="AD652" s="11"/>
      <c r="AE652" s="11"/>
      <c r="AF652" s="11"/>
      <c r="AG652" s="266"/>
      <c r="AH652" s="267"/>
      <c r="AI652" s="267"/>
    </row>
    <row r="653" spans="1:35" ht="13">
      <c r="A653" s="11"/>
      <c r="B653" s="11"/>
      <c r="C653" s="11"/>
      <c r="D653" s="11"/>
      <c r="E653" s="11"/>
      <c r="F653" s="270"/>
      <c r="G653" s="11"/>
      <c r="H653" s="11"/>
      <c r="I653" s="11"/>
      <c r="J653" s="11"/>
      <c r="K653" s="11"/>
      <c r="L653" s="11"/>
      <c r="M653" s="11"/>
      <c r="N653" s="11"/>
      <c r="O653" s="11"/>
      <c r="P653" s="263"/>
      <c r="Q653" s="263"/>
      <c r="R653" s="264"/>
      <c r="S653" s="264"/>
      <c r="T653" s="264"/>
      <c r="U653" s="11"/>
      <c r="V653" s="11"/>
      <c r="W653" s="11"/>
      <c r="X653" s="11"/>
      <c r="Y653" s="11"/>
      <c r="Z653" s="11"/>
      <c r="AA653" s="11"/>
      <c r="AB653" s="265"/>
      <c r="AC653" s="11"/>
      <c r="AD653" s="11"/>
      <c r="AE653" s="11"/>
      <c r="AF653" s="11"/>
      <c r="AG653" s="266"/>
      <c r="AH653" s="267"/>
      <c r="AI653" s="267"/>
    </row>
    <row r="654" spans="1:35" ht="13">
      <c r="A654" s="11"/>
      <c r="B654" s="11"/>
      <c r="C654" s="11"/>
      <c r="D654" s="11"/>
      <c r="E654" s="11"/>
      <c r="F654" s="270"/>
      <c r="G654" s="11"/>
      <c r="H654" s="11"/>
      <c r="I654" s="11"/>
      <c r="J654" s="11"/>
      <c r="K654" s="11"/>
      <c r="L654" s="11"/>
      <c r="M654" s="11"/>
      <c r="N654" s="11"/>
      <c r="O654" s="11"/>
      <c r="P654" s="263"/>
      <c r="Q654" s="263"/>
      <c r="R654" s="264"/>
      <c r="S654" s="264"/>
      <c r="T654" s="264"/>
      <c r="U654" s="11"/>
      <c r="V654" s="11"/>
      <c r="W654" s="11"/>
      <c r="X654" s="11"/>
      <c r="Y654" s="11"/>
      <c r="Z654" s="11"/>
      <c r="AA654" s="11"/>
      <c r="AB654" s="265"/>
      <c r="AC654" s="11"/>
      <c r="AD654" s="11"/>
      <c r="AE654" s="11"/>
      <c r="AF654" s="11"/>
      <c r="AG654" s="266"/>
      <c r="AH654" s="267"/>
      <c r="AI654" s="267"/>
    </row>
    <row r="655" spans="1:35" ht="13">
      <c r="A655" s="11"/>
      <c r="B655" s="11"/>
      <c r="C655" s="11"/>
      <c r="D655" s="11"/>
      <c r="E655" s="11"/>
      <c r="F655" s="270"/>
      <c r="G655" s="11"/>
      <c r="H655" s="11"/>
      <c r="I655" s="11"/>
      <c r="J655" s="11"/>
      <c r="K655" s="11"/>
      <c r="L655" s="11"/>
      <c r="M655" s="11"/>
      <c r="N655" s="11"/>
      <c r="O655" s="11"/>
      <c r="P655" s="263"/>
      <c r="Q655" s="263"/>
      <c r="R655" s="264"/>
      <c r="S655" s="264"/>
      <c r="T655" s="264"/>
      <c r="U655" s="11"/>
      <c r="V655" s="11"/>
      <c r="W655" s="11"/>
      <c r="X655" s="11"/>
      <c r="Y655" s="11"/>
      <c r="Z655" s="11"/>
      <c r="AA655" s="11"/>
      <c r="AB655" s="265"/>
      <c r="AC655" s="11"/>
      <c r="AD655" s="11"/>
      <c r="AE655" s="11"/>
      <c r="AF655" s="11"/>
      <c r="AG655" s="266"/>
      <c r="AH655" s="267"/>
      <c r="AI655" s="267"/>
    </row>
    <row r="656" spans="1:35" ht="13">
      <c r="A656" s="11"/>
      <c r="B656" s="11"/>
      <c r="C656" s="11"/>
      <c r="D656" s="11"/>
      <c r="E656" s="11"/>
      <c r="F656" s="270"/>
      <c r="G656" s="11"/>
      <c r="H656" s="11"/>
      <c r="I656" s="11"/>
      <c r="J656" s="11"/>
      <c r="K656" s="11"/>
      <c r="L656" s="11"/>
      <c r="M656" s="11"/>
      <c r="N656" s="11"/>
      <c r="O656" s="11"/>
      <c r="P656" s="263"/>
      <c r="Q656" s="263"/>
      <c r="R656" s="264"/>
      <c r="S656" s="264"/>
      <c r="T656" s="264"/>
      <c r="U656" s="11"/>
      <c r="V656" s="11"/>
      <c r="W656" s="11"/>
      <c r="X656" s="11"/>
      <c r="Y656" s="11"/>
      <c r="Z656" s="11"/>
      <c r="AA656" s="11"/>
      <c r="AB656" s="265"/>
      <c r="AC656" s="11"/>
      <c r="AD656" s="11"/>
      <c r="AE656" s="11"/>
      <c r="AF656" s="11"/>
      <c r="AG656" s="266"/>
      <c r="AH656" s="267"/>
      <c r="AI656" s="267"/>
    </row>
    <row r="657" spans="1:35" ht="13">
      <c r="A657" s="11"/>
      <c r="B657" s="11"/>
      <c r="C657" s="11"/>
      <c r="D657" s="11"/>
      <c r="E657" s="11"/>
      <c r="F657" s="270"/>
      <c r="G657" s="11"/>
      <c r="H657" s="11"/>
      <c r="I657" s="11"/>
      <c r="J657" s="11"/>
      <c r="K657" s="11"/>
      <c r="L657" s="11"/>
      <c r="M657" s="11"/>
      <c r="N657" s="11"/>
      <c r="O657" s="11"/>
      <c r="P657" s="263"/>
      <c r="Q657" s="263"/>
      <c r="R657" s="264"/>
      <c r="S657" s="264"/>
      <c r="T657" s="264"/>
      <c r="U657" s="11"/>
      <c r="V657" s="11"/>
      <c r="W657" s="11"/>
      <c r="X657" s="11"/>
      <c r="Y657" s="11"/>
      <c r="Z657" s="11"/>
      <c r="AA657" s="11"/>
      <c r="AB657" s="265"/>
      <c r="AC657" s="11"/>
      <c r="AD657" s="11"/>
      <c r="AE657" s="11"/>
      <c r="AF657" s="11"/>
      <c r="AG657" s="266"/>
      <c r="AH657" s="267"/>
      <c r="AI657" s="267"/>
    </row>
    <row r="658" spans="1:35" ht="13">
      <c r="A658" s="11"/>
      <c r="B658" s="11"/>
      <c r="C658" s="11"/>
      <c r="D658" s="11"/>
      <c r="E658" s="11"/>
      <c r="F658" s="270"/>
      <c r="G658" s="11"/>
      <c r="H658" s="11"/>
      <c r="I658" s="11"/>
      <c r="J658" s="11"/>
      <c r="K658" s="11"/>
      <c r="L658" s="11"/>
      <c r="M658" s="11"/>
      <c r="N658" s="11"/>
      <c r="O658" s="11"/>
      <c r="P658" s="263"/>
      <c r="Q658" s="263"/>
      <c r="R658" s="264"/>
      <c r="S658" s="264"/>
      <c r="T658" s="264"/>
      <c r="U658" s="11"/>
      <c r="V658" s="11"/>
      <c r="W658" s="11"/>
      <c r="X658" s="11"/>
      <c r="Y658" s="11"/>
      <c r="Z658" s="11"/>
      <c r="AA658" s="11"/>
      <c r="AB658" s="265"/>
      <c r="AC658" s="11"/>
      <c r="AD658" s="11"/>
      <c r="AE658" s="11"/>
      <c r="AF658" s="11"/>
      <c r="AG658" s="266"/>
      <c r="AH658" s="267"/>
      <c r="AI658" s="267"/>
    </row>
    <row r="659" spans="1:35" ht="13">
      <c r="A659" s="11"/>
      <c r="B659" s="11"/>
      <c r="C659" s="11"/>
      <c r="D659" s="11"/>
      <c r="E659" s="11"/>
      <c r="F659" s="270"/>
      <c r="G659" s="11"/>
      <c r="H659" s="11"/>
      <c r="I659" s="11"/>
      <c r="J659" s="11"/>
      <c r="K659" s="11"/>
      <c r="L659" s="11"/>
      <c r="M659" s="11"/>
      <c r="N659" s="11"/>
      <c r="O659" s="11"/>
      <c r="P659" s="263"/>
      <c r="Q659" s="263"/>
      <c r="R659" s="264"/>
      <c r="S659" s="264"/>
      <c r="T659" s="264"/>
      <c r="U659" s="11"/>
      <c r="V659" s="11"/>
      <c r="W659" s="11"/>
      <c r="X659" s="11"/>
      <c r="Y659" s="11"/>
      <c r="Z659" s="11"/>
      <c r="AA659" s="11"/>
      <c r="AB659" s="265"/>
      <c r="AC659" s="11"/>
      <c r="AD659" s="11"/>
      <c r="AE659" s="11"/>
      <c r="AF659" s="11"/>
      <c r="AG659" s="266"/>
      <c r="AH659" s="267"/>
      <c r="AI659" s="267"/>
    </row>
    <row r="660" spans="1:35" ht="13">
      <c r="A660" s="11"/>
      <c r="B660" s="11"/>
      <c r="C660" s="11"/>
      <c r="D660" s="11"/>
      <c r="E660" s="11"/>
      <c r="F660" s="270"/>
      <c r="G660" s="11"/>
      <c r="H660" s="11"/>
      <c r="I660" s="11"/>
      <c r="J660" s="11"/>
      <c r="K660" s="11"/>
      <c r="L660" s="11"/>
      <c r="M660" s="11"/>
      <c r="N660" s="11"/>
      <c r="O660" s="11"/>
      <c r="P660" s="263"/>
      <c r="Q660" s="263"/>
      <c r="R660" s="264"/>
      <c r="S660" s="264"/>
      <c r="T660" s="264"/>
      <c r="U660" s="11"/>
      <c r="V660" s="11"/>
      <c r="W660" s="11"/>
      <c r="X660" s="11"/>
      <c r="Y660" s="11"/>
      <c r="Z660" s="11"/>
      <c r="AA660" s="11"/>
      <c r="AB660" s="265"/>
      <c r="AC660" s="11"/>
      <c r="AD660" s="11"/>
      <c r="AE660" s="11"/>
      <c r="AF660" s="11"/>
      <c r="AG660" s="266"/>
      <c r="AH660" s="267"/>
      <c r="AI660" s="267"/>
    </row>
    <row r="661" spans="1:35" ht="13">
      <c r="A661" s="11"/>
      <c r="B661" s="11"/>
      <c r="C661" s="11"/>
      <c r="D661" s="11"/>
      <c r="E661" s="11"/>
      <c r="F661" s="270"/>
      <c r="G661" s="11"/>
      <c r="H661" s="11"/>
      <c r="I661" s="11"/>
      <c r="J661" s="11"/>
      <c r="K661" s="11"/>
      <c r="L661" s="11"/>
      <c r="M661" s="11"/>
      <c r="N661" s="11"/>
      <c r="O661" s="11"/>
      <c r="P661" s="263"/>
      <c r="Q661" s="263"/>
      <c r="R661" s="264"/>
      <c r="S661" s="264"/>
      <c r="T661" s="264"/>
      <c r="U661" s="11"/>
      <c r="V661" s="11"/>
      <c r="W661" s="11"/>
      <c r="X661" s="11"/>
      <c r="Y661" s="11"/>
      <c r="Z661" s="11"/>
      <c r="AA661" s="11"/>
      <c r="AB661" s="265"/>
      <c r="AC661" s="11"/>
      <c r="AD661" s="11"/>
      <c r="AE661" s="11"/>
      <c r="AF661" s="11"/>
      <c r="AG661" s="266"/>
      <c r="AH661" s="267"/>
      <c r="AI661" s="267"/>
    </row>
    <row r="662" spans="1:35" ht="13">
      <c r="A662" s="11"/>
      <c r="B662" s="11"/>
      <c r="C662" s="11"/>
      <c r="D662" s="11"/>
      <c r="E662" s="11"/>
      <c r="F662" s="270"/>
      <c r="G662" s="11"/>
      <c r="H662" s="11"/>
      <c r="I662" s="11"/>
      <c r="J662" s="11"/>
      <c r="K662" s="11"/>
      <c r="L662" s="11"/>
      <c r="M662" s="11"/>
      <c r="N662" s="11"/>
      <c r="O662" s="11"/>
      <c r="P662" s="263"/>
      <c r="Q662" s="263"/>
      <c r="R662" s="264"/>
      <c r="S662" s="264"/>
      <c r="T662" s="264"/>
      <c r="U662" s="11"/>
      <c r="V662" s="11"/>
      <c r="W662" s="11"/>
      <c r="X662" s="11"/>
      <c r="Y662" s="11"/>
      <c r="Z662" s="11"/>
      <c r="AA662" s="11"/>
      <c r="AB662" s="265"/>
      <c r="AC662" s="11"/>
      <c r="AD662" s="11"/>
      <c r="AE662" s="11"/>
      <c r="AF662" s="11"/>
      <c r="AG662" s="266"/>
      <c r="AH662" s="267"/>
      <c r="AI662" s="267"/>
    </row>
    <row r="663" spans="1:35" ht="13">
      <c r="A663" s="11"/>
      <c r="B663" s="11"/>
      <c r="C663" s="11"/>
      <c r="D663" s="11"/>
      <c r="E663" s="11"/>
      <c r="F663" s="270"/>
      <c r="G663" s="11"/>
      <c r="H663" s="11"/>
      <c r="I663" s="11"/>
      <c r="J663" s="11"/>
      <c r="K663" s="11"/>
      <c r="L663" s="11"/>
      <c r="M663" s="11"/>
      <c r="N663" s="11"/>
      <c r="O663" s="11"/>
      <c r="P663" s="263"/>
      <c r="Q663" s="263"/>
      <c r="R663" s="264"/>
      <c r="S663" s="264"/>
      <c r="T663" s="264"/>
      <c r="U663" s="11"/>
      <c r="V663" s="11"/>
      <c r="W663" s="11"/>
      <c r="X663" s="11"/>
      <c r="Y663" s="11"/>
      <c r="Z663" s="11"/>
      <c r="AA663" s="11"/>
      <c r="AB663" s="265"/>
      <c r="AC663" s="11"/>
      <c r="AD663" s="11"/>
      <c r="AE663" s="11"/>
      <c r="AF663" s="11"/>
      <c r="AG663" s="266"/>
      <c r="AH663" s="267"/>
      <c r="AI663" s="267"/>
    </row>
    <row r="664" spans="1:35" ht="13">
      <c r="A664" s="11"/>
      <c r="B664" s="11"/>
      <c r="C664" s="11"/>
      <c r="D664" s="11"/>
      <c r="E664" s="11"/>
      <c r="F664" s="270"/>
      <c r="G664" s="11"/>
      <c r="H664" s="11"/>
      <c r="I664" s="11"/>
      <c r="J664" s="11"/>
      <c r="K664" s="11"/>
      <c r="L664" s="11"/>
      <c r="M664" s="11"/>
      <c r="N664" s="11"/>
      <c r="O664" s="11"/>
      <c r="P664" s="263"/>
      <c r="Q664" s="263"/>
      <c r="R664" s="264"/>
      <c r="S664" s="264"/>
      <c r="T664" s="264"/>
      <c r="U664" s="11"/>
      <c r="V664" s="11"/>
      <c r="W664" s="11"/>
      <c r="X664" s="11"/>
      <c r="Y664" s="11"/>
      <c r="Z664" s="11"/>
      <c r="AA664" s="11"/>
      <c r="AB664" s="265"/>
      <c r="AC664" s="11"/>
      <c r="AD664" s="11"/>
      <c r="AE664" s="11"/>
      <c r="AF664" s="11"/>
      <c r="AG664" s="266"/>
      <c r="AH664" s="267"/>
      <c r="AI664" s="267"/>
    </row>
    <row r="665" spans="1:35" ht="13">
      <c r="A665" s="11"/>
      <c r="B665" s="11"/>
      <c r="C665" s="11"/>
      <c r="D665" s="11"/>
      <c r="E665" s="11"/>
      <c r="F665" s="270"/>
      <c r="G665" s="11"/>
      <c r="H665" s="11"/>
      <c r="I665" s="11"/>
      <c r="J665" s="11"/>
      <c r="K665" s="11"/>
      <c r="L665" s="11"/>
      <c r="M665" s="11"/>
      <c r="N665" s="11"/>
      <c r="O665" s="11"/>
      <c r="P665" s="263"/>
      <c r="Q665" s="263"/>
      <c r="R665" s="264"/>
      <c r="S665" s="264"/>
      <c r="T665" s="264"/>
      <c r="U665" s="11"/>
      <c r="V665" s="11"/>
      <c r="W665" s="11"/>
      <c r="X665" s="11"/>
      <c r="Y665" s="11"/>
      <c r="Z665" s="11"/>
      <c r="AA665" s="11"/>
      <c r="AB665" s="265"/>
      <c r="AC665" s="11"/>
      <c r="AD665" s="11"/>
      <c r="AE665" s="11"/>
      <c r="AF665" s="11"/>
      <c r="AG665" s="266"/>
      <c r="AH665" s="267"/>
      <c r="AI665" s="267"/>
    </row>
    <row r="666" spans="1:35" ht="13">
      <c r="A666" s="11"/>
      <c r="B666" s="11"/>
      <c r="C666" s="11"/>
      <c r="D666" s="11"/>
      <c r="E666" s="11"/>
      <c r="F666" s="270"/>
      <c r="G666" s="11"/>
      <c r="H666" s="11"/>
      <c r="I666" s="11"/>
      <c r="J666" s="11"/>
      <c r="K666" s="11"/>
      <c r="L666" s="11"/>
      <c r="M666" s="11"/>
      <c r="N666" s="11"/>
      <c r="O666" s="11"/>
      <c r="P666" s="263"/>
      <c r="Q666" s="263"/>
      <c r="R666" s="264"/>
      <c r="S666" s="264"/>
      <c r="T666" s="264"/>
      <c r="U666" s="11"/>
      <c r="V666" s="11"/>
      <c r="W666" s="11"/>
      <c r="X666" s="11"/>
      <c r="Y666" s="11"/>
      <c r="Z666" s="11"/>
      <c r="AA666" s="11"/>
      <c r="AB666" s="265"/>
      <c r="AC666" s="11"/>
      <c r="AD666" s="11"/>
      <c r="AE666" s="11"/>
      <c r="AF666" s="11"/>
      <c r="AG666" s="266"/>
      <c r="AH666" s="267"/>
      <c r="AI666" s="267"/>
    </row>
    <row r="667" spans="1:35" ht="13">
      <c r="A667" s="11"/>
      <c r="B667" s="11"/>
      <c r="C667" s="11"/>
      <c r="D667" s="11"/>
      <c r="E667" s="11"/>
      <c r="F667" s="270"/>
      <c r="G667" s="11"/>
      <c r="H667" s="11"/>
      <c r="I667" s="11"/>
      <c r="J667" s="11"/>
      <c r="K667" s="11"/>
      <c r="L667" s="11"/>
      <c r="M667" s="11"/>
      <c r="N667" s="11"/>
      <c r="O667" s="11"/>
      <c r="P667" s="263"/>
      <c r="Q667" s="263"/>
      <c r="R667" s="264"/>
      <c r="S667" s="264"/>
      <c r="T667" s="264"/>
      <c r="U667" s="11"/>
      <c r="V667" s="11"/>
      <c r="W667" s="11"/>
      <c r="X667" s="11"/>
      <c r="Y667" s="11"/>
      <c r="Z667" s="11"/>
      <c r="AA667" s="11"/>
      <c r="AB667" s="265"/>
      <c r="AC667" s="11"/>
      <c r="AD667" s="11"/>
      <c r="AE667" s="11"/>
      <c r="AF667" s="11"/>
      <c r="AG667" s="266"/>
      <c r="AH667" s="267"/>
      <c r="AI667" s="267"/>
    </row>
    <row r="668" spans="1:35" ht="13">
      <c r="A668" s="11"/>
      <c r="B668" s="11"/>
      <c r="C668" s="11"/>
      <c r="D668" s="11"/>
      <c r="E668" s="11"/>
      <c r="F668" s="270"/>
      <c r="G668" s="11"/>
      <c r="H668" s="11"/>
      <c r="I668" s="11"/>
      <c r="J668" s="11"/>
      <c r="K668" s="11"/>
      <c r="L668" s="11"/>
      <c r="M668" s="11"/>
      <c r="N668" s="11"/>
      <c r="O668" s="11"/>
      <c r="P668" s="263"/>
      <c r="Q668" s="263"/>
      <c r="R668" s="264"/>
      <c r="S668" s="264"/>
      <c r="T668" s="264"/>
      <c r="U668" s="11"/>
      <c r="V668" s="11"/>
      <c r="W668" s="11"/>
      <c r="X668" s="11"/>
      <c r="Y668" s="11"/>
      <c r="Z668" s="11"/>
      <c r="AA668" s="11"/>
      <c r="AB668" s="265"/>
      <c r="AC668" s="11"/>
      <c r="AD668" s="11"/>
      <c r="AE668" s="11"/>
      <c r="AF668" s="11"/>
      <c r="AG668" s="266"/>
      <c r="AH668" s="267"/>
      <c r="AI668" s="267"/>
    </row>
    <row r="669" spans="1:35" ht="13">
      <c r="A669" s="11"/>
      <c r="B669" s="11"/>
      <c r="C669" s="11"/>
      <c r="D669" s="11"/>
      <c r="E669" s="11"/>
      <c r="F669" s="270"/>
      <c r="G669" s="11"/>
      <c r="H669" s="11"/>
      <c r="I669" s="11"/>
      <c r="J669" s="11"/>
      <c r="K669" s="11"/>
      <c r="L669" s="11"/>
      <c r="M669" s="11"/>
      <c r="N669" s="11"/>
      <c r="O669" s="11"/>
      <c r="P669" s="263"/>
      <c r="Q669" s="263"/>
      <c r="R669" s="264"/>
      <c r="S669" s="264"/>
      <c r="T669" s="264"/>
      <c r="U669" s="11"/>
      <c r="V669" s="11"/>
      <c r="W669" s="11"/>
      <c r="X669" s="11"/>
      <c r="Y669" s="11"/>
      <c r="Z669" s="11"/>
      <c r="AA669" s="11"/>
      <c r="AB669" s="265"/>
      <c r="AC669" s="11"/>
      <c r="AD669" s="11"/>
      <c r="AE669" s="11"/>
      <c r="AF669" s="11"/>
      <c r="AG669" s="266"/>
      <c r="AH669" s="267"/>
      <c r="AI669" s="267"/>
    </row>
    <row r="670" spans="1:35" ht="13">
      <c r="A670" s="11"/>
      <c r="B670" s="11"/>
      <c r="C670" s="11"/>
      <c r="D670" s="11"/>
      <c r="E670" s="11"/>
      <c r="F670" s="270"/>
      <c r="G670" s="11"/>
      <c r="H670" s="11"/>
      <c r="I670" s="11"/>
      <c r="J670" s="11"/>
      <c r="K670" s="11"/>
      <c r="L670" s="11"/>
      <c r="M670" s="11"/>
      <c r="N670" s="11"/>
      <c r="O670" s="11"/>
      <c r="P670" s="263"/>
      <c r="Q670" s="263"/>
      <c r="R670" s="264"/>
      <c r="S670" s="264"/>
      <c r="T670" s="264"/>
      <c r="U670" s="11"/>
      <c r="V670" s="11"/>
      <c r="W670" s="11"/>
      <c r="X670" s="11"/>
      <c r="Y670" s="11"/>
      <c r="Z670" s="11"/>
      <c r="AA670" s="11"/>
      <c r="AB670" s="265"/>
      <c r="AC670" s="11"/>
      <c r="AD670" s="11"/>
      <c r="AE670" s="11"/>
      <c r="AF670" s="11"/>
      <c r="AG670" s="266"/>
      <c r="AH670" s="267"/>
      <c r="AI670" s="267"/>
    </row>
    <row r="671" spans="1:35" ht="13">
      <c r="A671" s="11"/>
      <c r="B671" s="11"/>
      <c r="C671" s="11"/>
      <c r="D671" s="11"/>
      <c r="E671" s="11"/>
      <c r="F671" s="270"/>
      <c r="G671" s="11"/>
      <c r="H671" s="11"/>
      <c r="I671" s="11"/>
      <c r="J671" s="11"/>
      <c r="K671" s="11"/>
      <c r="L671" s="11"/>
      <c r="M671" s="11"/>
      <c r="N671" s="11"/>
      <c r="O671" s="11"/>
      <c r="P671" s="263"/>
      <c r="Q671" s="263"/>
      <c r="R671" s="264"/>
      <c r="S671" s="264"/>
      <c r="T671" s="264"/>
      <c r="U671" s="11"/>
      <c r="V671" s="11"/>
      <c r="W671" s="11"/>
      <c r="X671" s="11"/>
      <c r="Y671" s="11"/>
      <c r="Z671" s="11"/>
      <c r="AA671" s="11"/>
      <c r="AB671" s="265"/>
      <c r="AC671" s="11"/>
      <c r="AD671" s="11"/>
      <c r="AE671" s="11"/>
      <c r="AF671" s="11"/>
      <c r="AG671" s="266"/>
      <c r="AH671" s="267"/>
      <c r="AI671" s="267"/>
    </row>
    <row r="672" spans="1:35" ht="13">
      <c r="A672" s="11"/>
      <c r="B672" s="11"/>
      <c r="C672" s="11"/>
      <c r="D672" s="11"/>
      <c r="E672" s="11"/>
      <c r="F672" s="270"/>
      <c r="G672" s="11"/>
      <c r="H672" s="11"/>
      <c r="I672" s="11"/>
      <c r="J672" s="11"/>
      <c r="K672" s="11"/>
      <c r="L672" s="11"/>
      <c r="M672" s="11"/>
      <c r="N672" s="11"/>
      <c r="O672" s="11"/>
      <c r="P672" s="263"/>
      <c r="Q672" s="263"/>
      <c r="R672" s="264"/>
      <c r="S672" s="264"/>
      <c r="T672" s="264"/>
      <c r="U672" s="11"/>
      <c r="V672" s="11"/>
      <c r="W672" s="11"/>
      <c r="X672" s="11"/>
      <c r="Y672" s="11"/>
      <c r="Z672" s="11"/>
      <c r="AA672" s="11"/>
      <c r="AB672" s="265"/>
      <c r="AC672" s="11"/>
      <c r="AD672" s="11"/>
      <c r="AE672" s="11"/>
      <c r="AF672" s="11"/>
      <c r="AG672" s="266"/>
      <c r="AH672" s="267"/>
      <c r="AI672" s="267"/>
    </row>
    <row r="673" spans="1:35" ht="13">
      <c r="A673" s="11"/>
      <c r="B673" s="11"/>
      <c r="C673" s="11"/>
      <c r="D673" s="11"/>
      <c r="E673" s="11"/>
      <c r="F673" s="270"/>
      <c r="G673" s="11"/>
      <c r="H673" s="11"/>
      <c r="I673" s="11"/>
      <c r="J673" s="11"/>
      <c r="K673" s="11"/>
      <c r="L673" s="11"/>
      <c r="M673" s="11"/>
      <c r="N673" s="11"/>
      <c r="O673" s="11"/>
      <c r="P673" s="263"/>
      <c r="Q673" s="263"/>
      <c r="R673" s="264"/>
      <c r="S673" s="264"/>
      <c r="T673" s="264"/>
      <c r="U673" s="11"/>
      <c r="V673" s="11"/>
      <c r="W673" s="11"/>
      <c r="X673" s="11"/>
      <c r="Y673" s="11"/>
      <c r="Z673" s="11"/>
      <c r="AA673" s="11"/>
      <c r="AB673" s="265"/>
      <c r="AC673" s="11"/>
      <c r="AD673" s="11"/>
      <c r="AE673" s="11"/>
      <c r="AF673" s="11"/>
      <c r="AG673" s="266"/>
      <c r="AH673" s="267"/>
      <c r="AI673" s="267"/>
    </row>
    <row r="674" spans="1:35" ht="13">
      <c r="A674" s="11"/>
      <c r="B674" s="11"/>
      <c r="C674" s="11"/>
      <c r="D674" s="11"/>
      <c r="E674" s="11"/>
      <c r="F674" s="270"/>
      <c r="G674" s="11"/>
      <c r="H674" s="11"/>
      <c r="I674" s="11"/>
      <c r="J674" s="11"/>
      <c r="K674" s="11"/>
      <c r="L674" s="11"/>
      <c r="M674" s="11"/>
      <c r="N674" s="11"/>
      <c r="O674" s="11"/>
      <c r="P674" s="263"/>
      <c r="Q674" s="263"/>
      <c r="R674" s="264"/>
      <c r="S674" s="264"/>
      <c r="T674" s="264"/>
      <c r="U674" s="11"/>
      <c r="V674" s="11"/>
      <c r="W674" s="11"/>
      <c r="X674" s="11"/>
      <c r="Y674" s="11"/>
      <c r="Z674" s="11"/>
      <c r="AA674" s="11"/>
      <c r="AB674" s="265"/>
      <c r="AC674" s="11"/>
      <c r="AD674" s="11"/>
      <c r="AE674" s="11"/>
      <c r="AF674" s="11"/>
      <c r="AG674" s="266"/>
      <c r="AH674" s="267"/>
      <c r="AI674" s="267"/>
    </row>
    <row r="675" spans="1:35" ht="13">
      <c r="A675" s="11"/>
      <c r="B675" s="11"/>
      <c r="C675" s="11"/>
      <c r="D675" s="11"/>
      <c r="E675" s="11"/>
      <c r="F675" s="270"/>
      <c r="G675" s="11"/>
      <c r="H675" s="11"/>
      <c r="I675" s="11"/>
      <c r="J675" s="11"/>
      <c r="K675" s="11"/>
      <c r="L675" s="11"/>
      <c r="M675" s="11"/>
      <c r="N675" s="11"/>
      <c r="O675" s="11"/>
      <c r="P675" s="263"/>
      <c r="Q675" s="263"/>
      <c r="R675" s="264"/>
      <c r="S675" s="264"/>
      <c r="T675" s="264"/>
      <c r="U675" s="11"/>
      <c r="V675" s="11"/>
      <c r="W675" s="11"/>
      <c r="X675" s="11"/>
      <c r="Y675" s="11"/>
      <c r="Z675" s="11"/>
      <c r="AA675" s="11"/>
      <c r="AB675" s="265"/>
      <c r="AC675" s="11"/>
      <c r="AD675" s="11"/>
      <c r="AE675" s="11"/>
      <c r="AF675" s="11"/>
      <c r="AG675" s="266"/>
      <c r="AH675" s="267"/>
      <c r="AI675" s="267"/>
    </row>
    <row r="676" spans="1:35" ht="13">
      <c r="A676" s="11"/>
      <c r="B676" s="11"/>
      <c r="C676" s="11"/>
      <c r="D676" s="11"/>
      <c r="E676" s="11"/>
      <c r="F676" s="270"/>
      <c r="G676" s="11"/>
      <c r="H676" s="11"/>
      <c r="I676" s="11"/>
      <c r="J676" s="11"/>
      <c r="K676" s="11"/>
      <c r="L676" s="11"/>
      <c r="M676" s="11"/>
      <c r="N676" s="11"/>
      <c r="O676" s="11"/>
      <c r="P676" s="263"/>
      <c r="Q676" s="263"/>
      <c r="R676" s="264"/>
      <c r="S676" s="264"/>
      <c r="T676" s="264"/>
      <c r="U676" s="11"/>
      <c r="V676" s="11"/>
      <c r="W676" s="11"/>
      <c r="X676" s="11"/>
      <c r="Y676" s="11"/>
      <c r="Z676" s="11"/>
      <c r="AA676" s="11"/>
      <c r="AB676" s="265"/>
      <c r="AC676" s="11"/>
      <c r="AD676" s="11"/>
      <c r="AE676" s="11"/>
      <c r="AF676" s="11"/>
      <c r="AG676" s="266"/>
      <c r="AH676" s="267"/>
      <c r="AI676" s="267"/>
    </row>
    <row r="677" spans="1:35" ht="13">
      <c r="A677" s="11"/>
      <c r="B677" s="11"/>
      <c r="C677" s="11"/>
      <c r="D677" s="11"/>
      <c r="E677" s="11"/>
      <c r="F677" s="270"/>
      <c r="G677" s="11"/>
      <c r="H677" s="11"/>
      <c r="I677" s="11"/>
      <c r="J677" s="11"/>
      <c r="K677" s="11"/>
      <c r="L677" s="11"/>
      <c r="M677" s="11"/>
      <c r="N677" s="11"/>
      <c r="O677" s="11"/>
      <c r="P677" s="263"/>
      <c r="Q677" s="263"/>
      <c r="R677" s="264"/>
      <c r="S677" s="264"/>
      <c r="T677" s="264"/>
      <c r="U677" s="11"/>
      <c r="V677" s="11"/>
      <c r="W677" s="11"/>
      <c r="X677" s="11"/>
      <c r="Y677" s="11"/>
      <c r="Z677" s="11"/>
      <c r="AA677" s="11"/>
      <c r="AB677" s="265"/>
      <c r="AC677" s="11"/>
      <c r="AD677" s="11"/>
      <c r="AE677" s="11"/>
      <c r="AF677" s="11"/>
      <c r="AG677" s="266"/>
      <c r="AH677" s="267"/>
      <c r="AI677" s="267"/>
    </row>
    <row r="678" spans="1:35" ht="13">
      <c r="A678" s="11"/>
      <c r="B678" s="11"/>
      <c r="C678" s="11"/>
      <c r="D678" s="11"/>
      <c r="E678" s="11"/>
      <c r="F678" s="270"/>
      <c r="G678" s="11"/>
      <c r="H678" s="11"/>
      <c r="I678" s="11"/>
      <c r="J678" s="11"/>
      <c r="K678" s="11"/>
      <c r="L678" s="11"/>
      <c r="M678" s="11"/>
      <c r="N678" s="11"/>
      <c r="O678" s="11"/>
      <c r="P678" s="263"/>
      <c r="Q678" s="263"/>
      <c r="R678" s="264"/>
      <c r="S678" s="264"/>
      <c r="T678" s="264"/>
      <c r="U678" s="11"/>
      <c r="V678" s="11"/>
      <c r="W678" s="11"/>
      <c r="X678" s="11"/>
      <c r="Y678" s="11"/>
      <c r="Z678" s="11"/>
      <c r="AA678" s="11"/>
      <c r="AB678" s="265"/>
      <c r="AC678" s="11"/>
      <c r="AD678" s="11"/>
      <c r="AE678" s="11"/>
      <c r="AF678" s="11"/>
      <c r="AG678" s="266"/>
      <c r="AH678" s="267"/>
      <c r="AI678" s="267"/>
    </row>
    <row r="679" spans="1:35" ht="13">
      <c r="A679" s="11"/>
      <c r="B679" s="11"/>
      <c r="C679" s="11"/>
      <c r="D679" s="11"/>
      <c r="E679" s="11"/>
      <c r="F679" s="270"/>
      <c r="G679" s="11"/>
      <c r="H679" s="11"/>
      <c r="I679" s="11"/>
      <c r="J679" s="11"/>
      <c r="K679" s="11"/>
      <c r="L679" s="11"/>
      <c r="M679" s="11"/>
      <c r="N679" s="11"/>
      <c r="O679" s="11"/>
      <c r="P679" s="263"/>
      <c r="Q679" s="263"/>
      <c r="R679" s="264"/>
      <c r="S679" s="264"/>
      <c r="T679" s="264"/>
      <c r="U679" s="11"/>
      <c r="V679" s="11"/>
      <c r="W679" s="11"/>
      <c r="X679" s="11"/>
      <c r="Y679" s="11"/>
      <c r="Z679" s="11"/>
      <c r="AA679" s="11"/>
      <c r="AB679" s="265"/>
      <c r="AC679" s="11"/>
      <c r="AD679" s="11"/>
      <c r="AE679" s="11"/>
      <c r="AF679" s="11"/>
      <c r="AG679" s="266"/>
      <c r="AH679" s="267"/>
      <c r="AI679" s="267"/>
    </row>
    <row r="680" spans="1:35" ht="13">
      <c r="A680" s="11"/>
      <c r="B680" s="11"/>
      <c r="C680" s="11"/>
      <c r="D680" s="11"/>
      <c r="E680" s="11"/>
      <c r="F680" s="270"/>
      <c r="G680" s="11"/>
      <c r="H680" s="11"/>
      <c r="I680" s="11"/>
      <c r="J680" s="11"/>
      <c r="K680" s="11"/>
      <c r="L680" s="11"/>
      <c r="M680" s="11"/>
      <c r="N680" s="11"/>
      <c r="O680" s="11"/>
      <c r="P680" s="263"/>
      <c r="Q680" s="263"/>
      <c r="R680" s="264"/>
      <c r="S680" s="264"/>
      <c r="T680" s="264"/>
      <c r="U680" s="11"/>
      <c r="V680" s="11"/>
      <c r="W680" s="11"/>
      <c r="X680" s="11"/>
      <c r="Y680" s="11"/>
      <c r="Z680" s="11"/>
      <c r="AA680" s="11"/>
      <c r="AB680" s="265"/>
      <c r="AC680" s="11"/>
      <c r="AD680" s="11"/>
      <c r="AE680" s="11"/>
      <c r="AF680" s="11"/>
      <c r="AG680" s="266"/>
      <c r="AH680" s="267"/>
      <c r="AI680" s="267"/>
    </row>
    <row r="681" spans="1:35" ht="13">
      <c r="A681" s="11"/>
      <c r="B681" s="11"/>
      <c r="C681" s="11"/>
      <c r="D681" s="11"/>
      <c r="E681" s="11"/>
      <c r="F681" s="270"/>
      <c r="G681" s="11"/>
      <c r="H681" s="11"/>
      <c r="I681" s="11"/>
      <c r="J681" s="11"/>
      <c r="K681" s="11"/>
      <c r="L681" s="11"/>
      <c r="M681" s="11"/>
      <c r="N681" s="11"/>
      <c r="O681" s="11"/>
      <c r="P681" s="263"/>
      <c r="Q681" s="263"/>
      <c r="R681" s="264"/>
      <c r="S681" s="264"/>
      <c r="T681" s="264"/>
      <c r="U681" s="11"/>
      <c r="V681" s="11"/>
      <c r="W681" s="11"/>
      <c r="X681" s="11"/>
      <c r="Y681" s="11"/>
      <c r="Z681" s="11"/>
      <c r="AA681" s="11"/>
      <c r="AB681" s="265"/>
      <c r="AC681" s="11"/>
      <c r="AD681" s="11"/>
      <c r="AE681" s="11"/>
      <c r="AF681" s="11"/>
      <c r="AG681" s="266"/>
      <c r="AH681" s="267"/>
      <c r="AI681" s="267"/>
    </row>
    <row r="682" spans="1:35" ht="13">
      <c r="A682" s="11"/>
      <c r="B682" s="11"/>
      <c r="C682" s="11"/>
      <c r="D682" s="11"/>
      <c r="E682" s="11"/>
      <c r="F682" s="270"/>
      <c r="G682" s="11"/>
      <c r="H682" s="11"/>
      <c r="I682" s="11"/>
      <c r="J682" s="11"/>
      <c r="K682" s="11"/>
      <c r="L682" s="11"/>
      <c r="M682" s="11"/>
      <c r="N682" s="11"/>
      <c r="O682" s="11"/>
      <c r="P682" s="263"/>
      <c r="Q682" s="263"/>
      <c r="R682" s="264"/>
      <c r="S682" s="264"/>
      <c r="T682" s="264"/>
      <c r="U682" s="11"/>
      <c r="V682" s="11"/>
      <c r="W682" s="11"/>
      <c r="X682" s="11"/>
      <c r="Y682" s="11"/>
      <c r="Z682" s="11"/>
      <c r="AA682" s="11"/>
      <c r="AB682" s="265"/>
      <c r="AC682" s="11"/>
      <c r="AD682" s="11"/>
      <c r="AE682" s="11"/>
      <c r="AF682" s="11"/>
      <c r="AG682" s="266"/>
      <c r="AH682" s="267"/>
      <c r="AI682" s="267"/>
    </row>
    <row r="683" spans="1:35" ht="13">
      <c r="A683" s="11"/>
      <c r="B683" s="11"/>
      <c r="C683" s="11"/>
      <c r="D683" s="11"/>
      <c r="E683" s="11"/>
      <c r="F683" s="270"/>
      <c r="G683" s="11"/>
      <c r="H683" s="11"/>
      <c r="I683" s="11"/>
      <c r="J683" s="11"/>
      <c r="K683" s="11"/>
      <c r="L683" s="11"/>
      <c r="M683" s="11"/>
      <c r="N683" s="11"/>
      <c r="O683" s="11"/>
      <c r="P683" s="263"/>
      <c r="Q683" s="263"/>
      <c r="R683" s="264"/>
      <c r="S683" s="264"/>
      <c r="T683" s="264"/>
      <c r="U683" s="11"/>
      <c r="V683" s="11"/>
      <c r="W683" s="11"/>
      <c r="X683" s="11"/>
      <c r="Y683" s="11"/>
      <c r="Z683" s="11"/>
      <c r="AA683" s="11"/>
      <c r="AB683" s="265"/>
      <c r="AC683" s="11"/>
      <c r="AD683" s="11"/>
      <c r="AE683" s="11"/>
      <c r="AF683" s="11"/>
      <c r="AG683" s="266"/>
      <c r="AH683" s="267"/>
      <c r="AI683" s="267"/>
    </row>
    <row r="684" spans="1:35" ht="13">
      <c r="A684" s="11"/>
      <c r="B684" s="11"/>
      <c r="C684" s="11"/>
      <c r="D684" s="11"/>
      <c r="E684" s="11"/>
      <c r="F684" s="270"/>
      <c r="G684" s="11"/>
      <c r="H684" s="11"/>
      <c r="I684" s="11"/>
      <c r="J684" s="11"/>
      <c r="K684" s="11"/>
      <c r="L684" s="11"/>
      <c r="M684" s="11"/>
      <c r="N684" s="11"/>
      <c r="O684" s="11"/>
      <c r="P684" s="263"/>
      <c r="Q684" s="263"/>
      <c r="R684" s="264"/>
      <c r="S684" s="264"/>
      <c r="T684" s="264"/>
      <c r="U684" s="11"/>
      <c r="V684" s="11"/>
      <c r="W684" s="11"/>
      <c r="X684" s="11"/>
      <c r="Y684" s="11"/>
      <c r="Z684" s="11"/>
      <c r="AA684" s="11"/>
      <c r="AB684" s="265"/>
      <c r="AC684" s="11"/>
      <c r="AD684" s="11"/>
      <c r="AE684" s="11"/>
      <c r="AF684" s="11"/>
      <c r="AG684" s="266"/>
      <c r="AH684" s="267"/>
      <c r="AI684" s="267"/>
    </row>
    <row r="685" spans="1:35" ht="13">
      <c r="A685" s="11"/>
      <c r="B685" s="11"/>
      <c r="C685" s="11"/>
      <c r="D685" s="11"/>
      <c r="E685" s="11"/>
      <c r="F685" s="270"/>
      <c r="G685" s="11"/>
      <c r="H685" s="11"/>
      <c r="I685" s="11"/>
      <c r="J685" s="11"/>
      <c r="K685" s="11"/>
      <c r="L685" s="11"/>
      <c r="M685" s="11"/>
      <c r="N685" s="11"/>
      <c r="O685" s="11"/>
      <c r="P685" s="263"/>
      <c r="Q685" s="263"/>
      <c r="R685" s="264"/>
      <c r="S685" s="264"/>
      <c r="T685" s="264"/>
      <c r="U685" s="11"/>
      <c r="V685" s="11"/>
      <c r="W685" s="11"/>
      <c r="X685" s="11"/>
      <c r="Y685" s="11"/>
      <c r="Z685" s="11"/>
      <c r="AA685" s="11"/>
      <c r="AB685" s="265"/>
      <c r="AC685" s="11"/>
      <c r="AD685" s="11"/>
      <c r="AE685" s="11"/>
      <c r="AF685" s="11"/>
      <c r="AG685" s="266"/>
      <c r="AH685" s="267"/>
      <c r="AI685" s="267"/>
    </row>
    <row r="686" spans="1:35" ht="13">
      <c r="A686" s="11"/>
      <c r="B686" s="11"/>
      <c r="C686" s="11"/>
      <c r="D686" s="11"/>
      <c r="E686" s="11"/>
      <c r="F686" s="270"/>
      <c r="G686" s="11"/>
      <c r="H686" s="11"/>
      <c r="I686" s="11"/>
      <c r="J686" s="11"/>
      <c r="K686" s="11"/>
      <c r="L686" s="11"/>
      <c r="M686" s="11"/>
      <c r="N686" s="11"/>
      <c r="O686" s="11"/>
      <c r="P686" s="263"/>
      <c r="Q686" s="263"/>
      <c r="R686" s="264"/>
      <c r="S686" s="264"/>
      <c r="T686" s="264"/>
      <c r="U686" s="11"/>
      <c r="V686" s="11"/>
      <c r="W686" s="11"/>
      <c r="X686" s="11"/>
      <c r="Y686" s="11"/>
      <c r="Z686" s="11"/>
      <c r="AA686" s="11"/>
      <c r="AB686" s="265"/>
      <c r="AC686" s="11"/>
      <c r="AD686" s="11"/>
      <c r="AE686" s="11"/>
      <c r="AF686" s="11"/>
      <c r="AG686" s="266"/>
      <c r="AH686" s="267"/>
      <c r="AI686" s="267"/>
    </row>
    <row r="687" spans="1:35" ht="13">
      <c r="A687" s="11"/>
      <c r="B687" s="11"/>
      <c r="C687" s="11"/>
      <c r="D687" s="11"/>
      <c r="E687" s="11"/>
      <c r="F687" s="270"/>
      <c r="G687" s="11"/>
      <c r="H687" s="11"/>
      <c r="I687" s="11"/>
      <c r="J687" s="11"/>
      <c r="K687" s="11"/>
      <c r="L687" s="11"/>
      <c r="M687" s="11"/>
      <c r="N687" s="11"/>
      <c r="O687" s="11"/>
      <c r="P687" s="263"/>
      <c r="Q687" s="263"/>
      <c r="R687" s="264"/>
      <c r="S687" s="264"/>
      <c r="T687" s="264"/>
      <c r="U687" s="11"/>
      <c r="V687" s="11"/>
      <c r="W687" s="11"/>
      <c r="X687" s="11"/>
      <c r="Y687" s="11"/>
      <c r="Z687" s="11"/>
      <c r="AA687" s="11"/>
      <c r="AB687" s="265"/>
      <c r="AC687" s="11"/>
      <c r="AD687" s="11"/>
      <c r="AE687" s="11"/>
      <c r="AF687" s="11"/>
      <c r="AG687" s="266"/>
      <c r="AH687" s="267"/>
      <c r="AI687" s="267"/>
    </row>
    <row r="688" spans="1:35" ht="13">
      <c r="A688" s="11"/>
      <c r="B688" s="11"/>
      <c r="C688" s="11"/>
      <c r="D688" s="11"/>
      <c r="E688" s="11"/>
      <c r="F688" s="270"/>
      <c r="G688" s="11"/>
      <c r="H688" s="11"/>
      <c r="I688" s="11"/>
      <c r="J688" s="11"/>
      <c r="K688" s="11"/>
      <c r="L688" s="11"/>
      <c r="M688" s="11"/>
      <c r="N688" s="11"/>
      <c r="O688" s="11"/>
      <c r="P688" s="263"/>
      <c r="Q688" s="263"/>
      <c r="R688" s="264"/>
      <c r="S688" s="264"/>
      <c r="T688" s="264"/>
      <c r="U688" s="11"/>
      <c r="V688" s="11"/>
      <c r="W688" s="11"/>
      <c r="X688" s="11"/>
      <c r="Y688" s="11"/>
      <c r="Z688" s="11"/>
      <c r="AA688" s="11"/>
      <c r="AB688" s="265"/>
      <c r="AC688" s="11"/>
      <c r="AD688" s="11"/>
      <c r="AE688" s="11"/>
      <c r="AF688" s="11"/>
      <c r="AG688" s="266"/>
      <c r="AH688" s="267"/>
      <c r="AI688" s="267"/>
    </row>
    <row r="689" spans="1:35" ht="13">
      <c r="A689" s="11"/>
      <c r="B689" s="11"/>
      <c r="C689" s="11"/>
      <c r="D689" s="11"/>
      <c r="E689" s="11"/>
      <c r="F689" s="270"/>
      <c r="G689" s="11"/>
      <c r="H689" s="11"/>
      <c r="I689" s="11"/>
      <c r="J689" s="11"/>
      <c r="K689" s="11"/>
      <c r="L689" s="11"/>
      <c r="M689" s="11"/>
      <c r="N689" s="11"/>
      <c r="O689" s="11"/>
      <c r="P689" s="263"/>
      <c r="Q689" s="263"/>
      <c r="R689" s="264"/>
      <c r="S689" s="264"/>
      <c r="T689" s="264"/>
      <c r="U689" s="11"/>
      <c r="V689" s="11"/>
      <c r="W689" s="11"/>
      <c r="X689" s="11"/>
      <c r="Y689" s="11"/>
      <c r="Z689" s="11"/>
      <c r="AA689" s="11"/>
      <c r="AB689" s="265"/>
      <c r="AC689" s="11"/>
      <c r="AD689" s="11"/>
      <c r="AE689" s="11"/>
      <c r="AF689" s="11"/>
      <c r="AG689" s="266"/>
      <c r="AH689" s="267"/>
      <c r="AI689" s="267"/>
    </row>
    <row r="690" spans="1:35" ht="13">
      <c r="A690" s="11"/>
      <c r="B690" s="11"/>
      <c r="C690" s="11"/>
      <c r="D690" s="11"/>
      <c r="E690" s="11"/>
      <c r="F690" s="270"/>
      <c r="G690" s="11"/>
      <c r="H690" s="11"/>
      <c r="I690" s="11"/>
      <c r="J690" s="11"/>
      <c r="K690" s="11"/>
      <c r="L690" s="11"/>
      <c r="M690" s="11"/>
      <c r="N690" s="11"/>
      <c r="O690" s="11"/>
      <c r="P690" s="263"/>
      <c r="Q690" s="263"/>
      <c r="R690" s="264"/>
      <c r="S690" s="264"/>
      <c r="T690" s="264"/>
      <c r="U690" s="11"/>
      <c r="V690" s="11"/>
      <c r="W690" s="11"/>
      <c r="X690" s="11"/>
      <c r="Y690" s="11"/>
      <c r="Z690" s="11"/>
      <c r="AA690" s="11"/>
      <c r="AB690" s="265"/>
      <c r="AC690" s="11"/>
      <c r="AD690" s="11"/>
      <c r="AE690" s="11"/>
      <c r="AF690" s="11"/>
      <c r="AG690" s="266"/>
      <c r="AH690" s="267"/>
      <c r="AI690" s="267"/>
    </row>
    <row r="691" spans="1:35" ht="13">
      <c r="A691" s="11"/>
      <c r="B691" s="11"/>
      <c r="C691" s="11"/>
      <c r="D691" s="11"/>
      <c r="E691" s="11"/>
      <c r="F691" s="270"/>
      <c r="G691" s="11"/>
      <c r="H691" s="11"/>
      <c r="I691" s="11"/>
      <c r="J691" s="11"/>
      <c r="K691" s="11"/>
      <c r="L691" s="11"/>
      <c r="M691" s="11"/>
      <c r="N691" s="11"/>
      <c r="O691" s="11"/>
      <c r="P691" s="263"/>
      <c r="Q691" s="263"/>
      <c r="R691" s="264"/>
      <c r="S691" s="264"/>
      <c r="T691" s="264"/>
      <c r="U691" s="11"/>
      <c r="V691" s="11"/>
      <c r="W691" s="11"/>
      <c r="X691" s="11"/>
      <c r="Y691" s="11"/>
      <c r="Z691" s="11"/>
      <c r="AA691" s="11"/>
      <c r="AB691" s="265"/>
      <c r="AC691" s="11"/>
      <c r="AD691" s="11"/>
      <c r="AE691" s="11"/>
      <c r="AF691" s="11"/>
      <c r="AG691" s="266"/>
      <c r="AH691" s="267"/>
      <c r="AI691" s="267"/>
    </row>
    <row r="692" spans="1:35" ht="13">
      <c r="A692" s="11"/>
      <c r="B692" s="11"/>
      <c r="C692" s="11"/>
      <c r="D692" s="11"/>
      <c r="E692" s="11"/>
      <c r="F692" s="270"/>
      <c r="G692" s="11"/>
      <c r="H692" s="11"/>
      <c r="I692" s="11"/>
      <c r="J692" s="11"/>
      <c r="K692" s="11"/>
      <c r="L692" s="11"/>
      <c r="M692" s="11"/>
      <c r="N692" s="11"/>
      <c r="O692" s="11"/>
      <c r="P692" s="263"/>
      <c r="Q692" s="263"/>
      <c r="R692" s="264"/>
      <c r="S692" s="264"/>
      <c r="T692" s="264"/>
      <c r="U692" s="11"/>
      <c r="V692" s="11"/>
      <c r="W692" s="11"/>
      <c r="X692" s="11"/>
      <c r="Y692" s="11"/>
      <c r="Z692" s="11"/>
      <c r="AA692" s="11"/>
      <c r="AB692" s="265"/>
      <c r="AC692" s="11"/>
      <c r="AD692" s="11"/>
      <c r="AE692" s="11"/>
      <c r="AF692" s="11"/>
      <c r="AG692" s="266"/>
      <c r="AH692" s="267"/>
      <c r="AI692" s="267"/>
    </row>
    <row r="693" spans="1:35" ht="13">
      <c r="A693" s="11"/>
      <c r="B693" s="11"/>
      <c r="C693" s="11"/>
      <c r="D693" s="11"/>
      <c r="E693" s="11"/>
      <c r="F693" s="270"/>
      <c r="G693" s="11"/>
      <c r="H693" s="11"/>
      <c r="I693" s="11"/>
      <c r="J693" s="11"/>
      <c r="K693" s="11"/>
      <c r="L693" s="11"/>
      <c r="M693" s="11"/>
      <c r="N693" s="11"/>
      <c r="O693" s="11"/>
      <c r="P693" s="263"/>
      <c r="Q693" s="263"/>
      <c r="R693" s="264"/>
      <c r="S693" s="264"/>
      <c r="T693" s="264"/>
      <c r="U693" s="11"/>
      <c r="V693" s="11"/>
      <c r="W693" s="11"/>
      <c r="X693" s="11"/>
      <c r="Y693" s="11"/>
      <c r="Z693" s="11"/>
      <c r="AA693" s="11"/>
      <c r="AB693" s="265"/>
      <c r="AC693" s="11"/>
      <c r="AD693" s="11"/>
      <c r="AE693" s="11"/>
      <c r="AF693" s="11"/>
      <c r="AG693" s="266"/>
      <c r="AH693" s="267"/>
      <c r="AI693" s="267"/>
    </row>
    <row r="694" spans="1:35" ht="13">
      <c r="A694" s="11"/>
      <c r="B694" s="11"/>
      <c r="C694" s="11"/>
      <c r="D694" s="11"/>
      <c r="E694" s="11"/>
      <c r="F694" s="270"/>
      <c r="G694" s="11"/>
      <c r="H694" s="11"/>
      <c r="I694" s="11"/>
      <c r="J694" s="11"/>
      <c r="K694" s="11"/>
      <c r="L694" s="11"/>
      <c r="M694" s="11"/>
      <c r="N694" s="11"/>
      <c r="O694" s="11"/>
      <c r="P694" s="263"/>
      <c r="Q694" s="263"/>
      <c r="R694" s="264"/>
      <c r="S694" s="264"/>
      <c r="T694" s="264"/>
      <c r="U694" s="11"/>
      <c r="V694" s="11"/>
      <c r="W694" s="11"/>
      <c r="X694" s="11"/>
      <c r="Y694" s="11"/>
      <c r="Z694" s="11"/>
      <c r="AA694" s="11"/>
      <c r="AB694" s="265"/>
      <c r="AC694" s="11"/>
      <c r="AD694" s="11"/>
      <c r="AE694" s="11"/>
      <c r="AF694" s="11"/>
      <c r="AG694" s="266"/>
      <c r="AH694" s="267"/>
      <c r="AI694" s="267"/>
    </row>
    <row r="695" spans="1:35" ht="13">
      <c r="A695" s="11"/>
      <c r="B695" s="11"/>
      <c r="C695" s="11"/>
      <c r="D695" s="11"/>
      <c r="E695" s="11"/>
      <c r="F695" s="270"/>
      <c r="G695" s="11"/>
      <c r="H695" s="11"/>
      <c r="I695" s="11"/>
      <c r="J695" s="11"/>
      <c r="K695" s="11"/>
      <c r="L695" s="11"/>
      <c r="M695" s="11"/>
      <c r="N695" s="11"/>
      <c r="O695" s="11"/>
      <c r="P695" s="263"/>
      <c r="Q695" s="263"/>
      <c r="R695" s="264"/>
      <c r="S695" s="264"/>
      <c r="T695" s="264"/>
      <c r="U695" s="11"/>
      <c r="V695" s="11"/>
      <c r="W695" s="11"/>
      <c r="X695" s="11"/>
      <c r="Y695" s="11"/>
      <c r="Z695" s="11"/>
      <c r="AA695" s="11"/>
      <c r="AB695" s="265"/>
      <c r="AC695" s="11"/>
      <c r="AD695" s="11"/>
      <c r="AE695" s="11"/>
      <c r="AF695" s="11"/>
      <c r="AG695" s="266"/>
      <c r="AH695" s="267"/>
      <c r="AI695" s="267"/>
    </row>
    <row r="696" spans="1:35" ht="13">
      <c r="A696" s="11"/>
      <c r="B696" s="11"/>
      <c r="C696" s="11"/>
      <c r="D696" s="11"/>
      <c r="E696" s="11"/>
      <c r="F696" s="270"/>
      <c r="G696" s="11"/>
      <c r="H696" s="11"/>
      <c r="I696" s="11"/>
      <c r="J696" s="11"/>
      <c r="K696" s="11"/>
      <c r="L696" s="11"/>
      <c r="M696" s="11"/>
      <c r="N696" s="11"/>
      <c r="O696" s="11"/>
      <c r="P696" s="263"/>
      <c r="Q696" s="263"/>
      <c r="R696" s="264"/>
      <c r="S696" s="264"/>
      <c r="T696" s="264"/>
      <c r="U696" s="11"/>
      <c r="V696" s="11"/>
      <c r="W696" s="11"/>
      <c r="X696" s="11"/>
      <c r="Y696" s="11"/>
      <c r="Z696" s="11"/>
      <c r="AA696" s="11"/>
      <c r="AB696" s="265"/>
      <c r="AC696" s="11"/>
      <c r="AD696" s="11"/>
      <c r="AE696" s="11"/>
      <c r="AF696" s="11"/>
      <c r="AG696" s="266"/>
      <c r="AH696" s="267"/>
      <c r="AI696" s="267"/>
    </row>
    <row r="697" spans="1:35" ht="13">
      <c r="A697" s="11"/>
      <c r="B697" s="11"/>
      <c r="C697" s="11"/>
      <c r="D697" s="11"/>
      <c r="E697" s="11"/>
      <c r="F697" s="270"/>
      <c r="G697" s="11"/>
      <c r="H697" s="11"/>
      <c r="I697" s="11"/>
      <c r="J697" s="11"/>
      <c r="K697" s="11"/>
      <c r="L697" s="11"/>
      <c r="M697" s="11"/>
      <c r="N697" s="11"/>
      <c r="O697" s="11"/>
      <c r="P697" s="263"/>
      <c r="Q697" s="263"/>
      <c r="R697" s="264"/>
      <c r="S697" s="264"/>
      <c r="T697" s="264"/>
      <c r="U697" s="11"/>
      <c r="V697" s="11"/>
      <c r="W697" s="11"/>
      <c r="X697" s="11"/>
      <c r="Y697" s="11"/>
      <c r="Z697" s="11"/>
      <c r="AA697" s="11"/>
      <c r="AB697" s="265"/>
      <c r="AC697" s="11"/>
      <c r="AD697" s="11"/>
      <c r="AE697" s="11"/>
      <c r="AF697" s="11"/>
      <c r="AG697" s="266"/>
      <c r="AH697" s="267"/>
      <c r="AI697" s="267"/>
    </row>
    <row r="698" spans="1:35" ht="13">
      <c r="A698" s="11"/>
      <c r="B698" s="11"/>
      <c r="C698" s="11"/>
      <c r="D698" s="11"/>
      <c r="E698" s="11"/>
      <c r="F698" s="270"/>
      <c r="G698" s="11"/>
      <c r="H698" s="11"/>
      <c r="I698" s="11"/>
      <c r="J698" s="11"/>
      <c r="K698" s="11"/>
      <c r="L698" s="11"/>
      <c r="M698" s="11"/>
      <c r="N698" s="11"/>
      <c r="O698" s="11"/>
      <c r="P698" s="263"/>
      <c r="Q698" s="263"/>
      <c r="R698" s="264"/>
      <c r="S698" s="264"/>
      <c r="T698" s="264"/>
      <c r="U698" s="11"/>
      <c r="V698" s="11"/>
      <c r="W698" s="11"/>
      <c r="X698" s="11"/>
      <c r="Y698" s="11"/>
      <c r="Z698" s="11"/>
      <c r="AA698" s="11"/>
      <c r="AB698" s="265"/>
      <c r="AC698" s="11"/>
      <c r="AD698" s="11"/>
      <c r="AE698" s="11"/>
      <c r="AF698" s="11"/>
      <c r="AG698" s="266"/>
      <c r="AH698" s="267"/>
      <c r="AI698" s="267"/>
    </row>
    <row r="699" spans="1:35" ht="13">
      <c r="A699" s="11"/>
      <c r="B699" s="11"/>
      <c r="C699" s="11"/>
      <c r="D699" s="11"/>
      <c r="E699" s="11"/>
      <c r="F699" s="270"/>
      <c r="G699" s="11"/>
      <c r="H699" s="11"/>
      <c r="I699" s="11"/>
      <c r="J699" s="11"/>
      <c r="K699" s="11"/>
      <c r="L699" s="11"/>
      <c r="M699" s="11"/>
      <c r="N699" s="11"/>
      <c r="O699" s="11"/>
      <c r="P699" s="263"/>
      <c r="Q699" s="263"/>
      <c r="R699" s="264"/>
      <c r="S699" s="264"/>
      <c r="T699" s="264"/>
      <c r="U699" s="11"/>
      <c r="V699" s="11"/>
      <c r="W699" s="11"/>
      <c r="X699" s="11"/>
      <c r="Y699" s="11"/>
      <c r="Z699" s="11"/>
      <c r="AA699" s="11"/>
      <c r="AB699" s="265"/>
      <c r="AC699" s="11"/>
      <c r="AD699" s="11"/>
      <c r="AE699" s="11"/>
      <c r="AF699" s="11"/>
      <c r="AG699" s="266"/>
      <c r="AH699" s="267"/>
      <c r="AI699" s="267"/>
    </row>
    <row r="700" spans="1:35" ht="13">
      <c r="A700" s="11"/>
      <c r="B700" s="11"/>
      <c r="C700" s="11"/>
      <c r="D700" s="11"/>
      <c r="E700" s="11"/>
      <c r="F700" s="270"/>
      <c r="G700" s="11"/>
      <c r="H700" s="11"/>
      <c r="I700" s="11"/>
      <c r="J700" s="11"/>
      <c r="K700" s="11"/>
      <c r="L700" s="11"/>
      <c r="M700" s="11"/>
      <c r="N700" s="11"/>
      <c r="O700" s="11"/>
      <c r="P700" s="263"/>
      <c r="Q700" s="263"/>
      <c r="R700" s="264"/>
      <c r="S700" s="264"/>
      <c r="T700" s="264"/>
      <c r="U700" s="11"/>
      <c r="V700" s="11"/>
      <c r="W700" s="11"/>
      <c r="X700" s="11"/>
      <c r="Y700" s="11"/>
      <c r="Z700" s="11"/>
      <c r="AA700" s="11"/>
      <c r="AB700" s="265"/>
      <c r="AC700" s="11"/>
      <c r="AD700" s="11"/>
      <c r="AE700" s="11"/>
      <c r="AF700" s="11"/>
      <c r="AG700" s="266"/>
      <c r="AH700" s="267"/>
      <c r="AI700" s="267"/>
    </row>
    <row r="701" spans="1:35" ht="13">
      <c r="A701" s="11"/>
      <c r="B701" s="11"/>
      <c r="C701" s="11"/>
      <c r="D701" s="11"/>
      <c r="E701" s="11"/>
      <c r="F701" s="270"/>
      <c r="G701" s="11"/>
      <c r="H701" s="11"/>
      <c r="I701" s="11"/>
      <c r="J701" s="11"/>
      <c r="K701" s="11"/>
      <c r="L701" s="11"/>
      <c r="M701" s="11"/>
      <c r="N701" s="11"/>
      <c r="O701" s="11"/>
      <c r="P701" s="263"/>
      <c r="Q701" s="263"/>
      <c r="R701" s="264"/>
      <c r="S701" s="264"/>
      <c r="T701" s="264"/>
      <c r="U701" s="11"/>
      <c r="V701" s="11"/>
      <c r="W701" s="11"/>
      <c r="X701" s="11"/>
      <c r="Y701" s="11"/>
      <c r="Z701" s="11"/>
      <c r="AA701" s="11"/>
      <c r="AB701" s="265"/>
      <c r="AC701" s="11"/>
      <c r="AD701" s="11"/>
      <c r="AE701" s="11"/>
      <c r="AF701" s="11"/>
      <c r="AG701" s="266"/>
      <c r="AH701" s="267"/>
      <c r="AI701" s="267"/>
    </row>
    <row r="702" spans="1:35" ht="13">
      <c r="A702" s="11"/>
      <c r="B702" s="11"/>
      <c r="C702" s="11"/>
      <c r="D702" s="11"/>
      <c r="E702" s="11"/>
      <c r="F702" s="270"/>
      <c r="G702" s="11"/>
      <c r="H702" s="11"/>
      <c r="I702" s="11"/>
      <c r="J702" s="11"/>
      <c r="K702" s="11"/>
      <c r="L702" s="11"/>
      <c r="M702" s="11"/>
      <c r="N702" s="11"/>
      <c r="O702" s="11"/>
      <c r="P702" s="263"/>
      <c r="Q702" s="263"/>
      <c r="R702" s="264"/>
      <c r="S702" s="264"/>
      <c r="T702" s="264"/>
      <c r="U702" s="11"/>
      <c r="V702" s="11"/>
      <c r="W702" s="11"/>
      <c r="X702" s="11"/>
      <c r="Y702" s="11"/>
      <c r="Z702" s="11"/>
      <c r="AA702" s="11"/>
      <c r="AB702" s="265"/>
      <c r="AC702" s="11"/>
      <c r="AD702" s="11"/>
      <c r="AE702" s="11"/>
      <c r="AF702" s="11"/>
      <c r="AG702" s="266"/>
      <c r="AH702" s="267"/>
      <c r="AI702" s="267"/>
    </row>
    <row r="703" spans="1:35" ht="13">
      <c r="A703" s="11"/>
      <c r="B703" s="11"/>
      <c r="C703" s="11"/>
      <c r="D703" s="11"/>
      <c r="E703" s="11"/>
      <c r="F703" s="270"/>
      <c r="G703" s="11"/>
      <c r="H703" s="11"/>
      <c r="I703" s="11"/>
      <c r="J703" s="11"/>
      <c r="K703" s="11"/>
      <c r="L703" s="11"/>
      <c r="M703" s="11"/>
      <c r="N703" s="11"/>
      <c r="O703" s="11"/>
      <c r="P703" s="263"/>
      <c r="Q703" s="263"/>
      <c r="R703" s="264"/>
      <c r="S703" s="264"/>
      <c r="T703" s="264"/>
      <c r="U703" s="11"/>
      <c r="V703" s="11"/>
      <c r="W703" s="11"/>
      <c r="X703" s="11"/>
      <c r="Y703" s="11"/>
      <c r="Z703" s="11"/>
      <c r="AA703" s="11"/>
      <c r="AB703" s="265"/>
      <c r="AC703" s="11"/>
      <c r="AD703" s="11"/>
      <c r="AE703" s="11"/>
      <c r="AF703" s="11"/>
      <c r="AG703" s="266"/>
      <c r="AH703" s="267"/>
      <c r="AI703" s="267"/>
    </row>
    <row r="704" spans="1:35" ht="13">
      <c r="A704" s="11"/>
      <c r="B704" s="11"/>
      <c r="C704" s="11"/>
      <c r="D704" s="11"/>
      <c r="E704" s="11"/>
      <c r="F704" s="270"/>
      <c r="G704" s="11"/>
      <c r="H704" s="11"/>
      <c r="I704" s="11"/>
      <c r="J704" s="11"/>
      <c r="K704" s="11"/>
      <c r="L704" s="11"/>
      <c r="M704" s="11"/>
      <c r="N704" s="11"/>
      <c r="O704" s="11"/>
      <c r="P704" s="263"/>
      <c r="Q704" s="263"/>
      <c r="R704" s="264"/>
      <c r="S704" s="264"/>
      <c r="T704" s="264"/>
      <c r="U704" s="11"/>
      <c r="V704" s="11"/>
      <c r="W704" s="11"/>
      <c r="X704" s="11"/>
      <c r="Y704" s="11"/>
      <c r="Z704" s="11"/>
      <c r="AA704" s="11"/>
      <c r="AB704" s="265"/>
      <c r="AC704" s="11"/>
      <c r="AD704" s="11"/>
      <c r="AE704" s="11"/>
      <c r="AF704" s="11"/>
      <c r="AG704" s="266"/>
      <c r="AH704" s="267"/>
      <c r="AI704" s="267"/>
    </row>
    <row r="705" spans="1:35" ht="13">
      <c r="A705" s="11"/>
      <c r="B705" s="11"/>
      <c r="C705" s="11"/>
      <c r="D705" s="11"/>
      <c r="E705" s="11"/>
      <c r="F705" s="270"/>
      <c r="G705" s="11"/>
      <c r="H705" s="11"/>
      <c r="I705" s="11"/>
      <c r="J705" s="11"/>
      <c r="K705" s="11"/>
      <c r="L705" s="11"/>
      <c r="M705" s="11"/>
      <c r="N705" s="11"/>
      <c r="O705" s="11"/>
      <c r="P705" s="263"/>
      <c r="Q705" s="263"/>
      <c r="R705" s="264"/>
      <c r="S705" s="264"/>
      <c r="T705" s="264"/>
      <c r="U705" s="11"/>
      <c r="V705" s="11"/>
      <c r="W705" s="11"/>
      <c r="X705" s="11"/>
      <c r="Y705" s="11"/>
      <c r="Z705" s="11"/>
      <c r="AA705" s="11"/>
      <c r="AB705" s="265"/>
      <c r="AC705" s="11"/>
      <c r="AD705" s="11"/>
      <c r="AE705" s="11"/>
      <c r="AF705" s="11"/>
      <c r="AG705" s="266"/>
      <c r="AH705" s="267"/>
      <c r="AI705" s="267"/>
    </row>
    <row r="706" spans="1:35" ht="13">
      <c r="A706" s="11"/>
      <c r="B706" s="11"/>
      <c r="C706" s="11"/>
      <c r="D706" s="11"/>
      <c r="E706" s="11"/>
      <c r="F706" s="270"/>
      <c r="G706" s="11"/>
      <c r="H706" s="11"/>
      <c r="I706" s="11"/>
      <c r="J706" s="11"/>
      <c r="K706" s="11"/>
      <c r="L706" s="11"/>
      <c r="M706" s="11"/>
      <c r="N706" s="11"/>
      <c r="O706" s="11"/>
      <c r="P706" s="263"/>
      <c r="Q706" s="263"/>
      <c r="R706" s="264"/>
      <c r="S706" s="264"/>
      <c r="T706" s="264"/>
      <c r="U706" s="11"/>
      <c r="V706" s="11"/>
      <c r="W706" s="11"/>
      <c r="X706" s="11"/>
      <c r="Y706" s="11"/>
      <c r="Z706" s="11"/>
      <c r="AA706" s="11"/>
      <c r="AB706" s="265"/>
      <c r="AC706" s="11"/>
      <c r="AD706" s="11"/>
      <c r="AE706" s="11"/>
      <c r="AF706" s="11"/>
      <c r="AG706" s="266"/>
      <c r="AH706" s="267"/>
      <c r="AI706" s="267"/>
    </row>
    <row r="707" spans="1:35" ht="13">
      <c r="A707" s="11"/>
      <c r="B707" s="11"/>
      <c r="C707" s="11"/>
      <c r="D707" s="11"/>
      <c r="E707" s="11"/>
      <c r="F707" s="270"/>
      <c r="G707" s="11"/>
      <c r="H707" s="11"/>
      <c r="I707" s="11"/>
      <c r="J707" s="11"/>
      <c r="K707" s="11"/>
      <c r="L707" s="11"/>
      <c r="M707" s="11"/>
      <c r="N707" s="11"/>
      <c r="O707" s="11"/>
      <c r="P707" s="263"/>
      <c r="Q707" s="263"/>
      <c r="R707" s="264"/>
      <c r="S707" s="264"/>
      <c r="T707" s="264"/>
      <c r="U707" s="11"/>
      <c r="V707" s="11"/>
      <c r="W707" s="11"/>
      <c r="X707" s="11"/>
      <c r="Y707" s="11"/>
      <c r="Z707" s="11"/>
      <c r="AA707" s="11"/>
      <c r="AB707" s="265"/>
      <c r="AC707" s="11"/>
      <c r="AD707" s="11"/>
      <c r="AE707" s="11"/>
      <c r="AF707" s="11"/>
      <c r="AG707" s="266"/>
      <c r="AH707" s="267"/>
      <c r="AI707" s="267"/>
    </row>
    <row r="708" spans="1:35" ht="13">
      <c r="A708" s="11"/>
      <c r="B708" s="11"/>
      <c r="C708" s="11"/>
      <c r="D708" s="11"/>
      <c r="E708" s="11"/>
      <c r="F708" s="270"/>
      <c r="G708" s="11"/>
      <c r="H708" s="11"/>
      <c r="I708" s="11"/>
      <c r="J708" s="11"/>
      <c r="K708" s="11"/>
      <c r="L708" s="11"/>
      <c r="M708" s="11"/>
      <c r="N708" s="11"/>
      <c r="O708" s="11"/>
      <c r="P708" s="263"/>
      <c r="Q708" s="263"/>
      <c r="R708" s="264"/>
      <c r="S708" s="264"/>
      <c r="T708" s="264"/>
      <c r="U708" s="11"/>
      <c r="V708" s="11"/>
      <c r="W708" s="11"/>
      <c r="X708" s="11"/>
      <c r="Y708" s="11"/>
      <c r="Z708" s="11"/>
      <c r="AA708" s="11"/>
      <c r="AB708" s="265"/>
      <c r="AC708" s="11"/>
      <c r="AD708" s="11"/>
      <c r="AE708" s="11"/>
      <c r="AF708" s="11"/>
      <c r="AG708" s="266"/>
      <c r="AH708" s="267"/>
      <c r="AI708" s="267"/>
    </row>
    <row r="709" spans="1:35" ht="13">
      <c r="A709" s="11"/>
      <c r="B709" s="11"/>
      <c r="C709" s="11"/>
      <c r="D709" s="11"/>
      <c r="E709" s="11"/>
      <c r="F709" s="270"/>
      <c r="G709" s="11"/>
      <c r="H709" s="11"/>
      <c r="I709" s="11"/>
      <c r="J709" s="11"/>
      <c r="K709" s="11"/>
      <c r="L709" s="11"/>
      <c r="M709" s="11"/>
      <c r="N709" s="11"/>
      <c r="O709" s="11"/>
      <c r="P709" s="263"/>
      <c r="Q709" s="263"/>
      <c r="R709" s="264"/>
      <c r="S709" s="264"/>
      <c r="T709" s="264"/>
      <c r="U709" s="11"/>
      <c r="V709" s="11"/>
      <c r="W709" s="11"/>
      <c r="X709" s="11"/>
      <c r="Y709" s="11"/>
      <c r="Z709" s="11"/>
      <c r="AA709" s="11"/>
      <c r="AB709" s="265"/>
      <c r="AC709" s="11"/>
      <c r="AD709" s="11"/>
      <c r="AE709" s="11"/>
      <c r="AF709" s="11"/>
      <c r="AG709" s="266"/>
      <c r="AH709" s="267"/>
      <c r="AI709" s="267"/>
    </row>
    <row r="710" spans="1:35" ht="13">
      <c r="A710" s="11"/>
      <c r="B710" s="11"/>
      <c r="C710" s="11"/>
      <c r="D710" s="11"/>
      <c r="E710" s="11"/>
      <c r="F710" s="270"/>
      <c r="G710" s="11"/>
      <c r="H710" s="11"/>
      <c r="I710" s="11"/>
      <c r="J710" s="11"/>
      <c r="K710" s="11"/>
      <c r="L710" s="11"/>
      <c r="M710" s="11"/>
      <c r="N710" s="11"/>
      <c r="O710" s="11"/>
      <c r="P710" s="263"/>
      <c r="Q710" s="263"/>
      <c r="R710" s="264"/>
      <c r="S710" s="264"/>
      <c r="T710" s="264"/>
      <c r="U710" s="11"/>
      <c r="V710" s="11"/>
      <c r="W710" s="11"/>
      <c r="X710" s="11"/>
      <c r="Y710" s="11"/>
      <c r="Z710" s="11"/>
      <c r="AA710" s="11"/>
      <c r="AB710" s="265"/>
      <c r="AC710" s="11"/>
      <c r="AD710" s="11"/>
      <c r="AE710" s="11"/>
      <c r="AF710" s="11"/>
      <c r="AG710" s="266"/>
      <c r="AH710" s="267"/>
      <c r="AI710" s="267"/>
    </row>
    <row r="711" spans="1:35" ht="13">
      <c r="A711" s="11"/>
      <c r="B711" s="11"/>
      <c r="C711" s="11"/>
      <c r="D711" s="11"/>
      <c r="E711" s="11"/>
      <c r="F711" s="270"/>
      <c r="G711" s="11"/>
      <c r="H711" s="11"/>
      <c r="I711" s="11"/>
      <c r="J711" s="11"/>
      <c r="K711" s="11"/>
      <c r="L711" s="11"/>
      <c r="M711" s="11"/>
      <c r="N711" s="11"/>
      <c r="O711" s="11"/>
      <c r="P711" s="263"/>
      <c r="Q711" s="263"/>
      <c r="R711" s="264"/>
      <c r="S711" s="264"/>
      <c r="T711" s="264"/>
      <c r="U711" s="11"/>
      <c r="V711" s="11"/>
      <c r="W711" s="11"/>
      <c r="X711" s="11"/>
      <c r="Y711" s="11"/>
      <c r="Z711" s="11"/>
      <c r="AA711" s="11"/>
      <c r="AB711" s="265"/>
      <c r="AC711" s="11"/>
      <c r="AD711" s="11"/>
      <c r="AE711" s="11"/>
      <c r="AF711" s="11"/>
      <c r="AG711" s="266"/>
      <c r="AH711" s="267"/>
      <c r="AI711" s="267"/>
    </row>
    <row r="712" spans="1:35" ht="13">
      <c r="A712" s="11"/>
      <c r="B712" s="11"/>
      <c r="C712" s="11"/>
      <c r="D712" s="11"/>
      <c r="E712" s="11"/>
      <c r="F712" s="270"/>
      <c r="G712" s="11"/>
      <c r="H712" s="11"/>
      <c r="I712" s="11"/>
      <c r="J712" s="11"/>
      <c r="K712" s="11"/>
      <c r="L712" s="11"/>
      <c r="M712" s="11"/>
      <c r="N712" s="11"/>
      <c r="O712" s="11"/>
      <c r="P712" s="263"/>
      <c r="Q712" s="263"/>
      <c r="R712" s="264"/>
      <c r="S712" s="264"/>
      <c r="T712" s="264"/>
      <c r="U712" s="11"/>
      <c r="V712" s="11"/>
      <c r="W712" s="11"/>
      <c r="X712" s="11"/>
      <c r="Y712" s="11"/>
      <c r="Z712" s="11"/>
      <c r="AA712" s="11"/>
      <c r="AB712" s="265"/>
      <c r="AC712" s="11"/>
      <c r="AD712" s="11"/>
      <c r="AE712" s="11"/>
      <c r="AF712" s="11"/>
      <c r="AG712" s="266"/>
      <c r="AH712" s="267"/>
      <c r="AI712" s="267"/>
    </row>
    <row r="713" spans="1:35" ht="13">
      <c r="A713" s="11"/>
      <c r="B713" s="11"/>
      <c r="C713" s="11"/>
      <c r="D713" s="11"/>
      <c r="E713" s="11"/>
      <c r="F713" s="270"/>
      <c r="G713" s="11"/>
      <c r="H713" s="11"/>
      <c r="I713" s="11"/>
      <c r="J713" s="11"/>
      <c r="K713" s="11"/>
      <c r="L713" s="11"/>
      <c r="M713" s="11"/>
      <c r="N713" s="11"/>
      <c r="O713" s="11"/>
      <c r="P713" s="263"/>
      <c r="Q713" s="263"/>
      <c r="R713" s="264"/>
      <c r="S713" s="264"/>
      <c r="T713" s="264"/>
      <c r="U713" s="11"/>
      <c r="V713" s="11"/>
      <c r="W713" s="11"/>
      <c r="X713" s="11"/>
      <c r="Y713" s="11"/>
      <c r="Z713" s="11"/>
      <c r="AA713" s="11"/>
      <c r="AB713" s="265"/>
      <c r="AC713" s="11"/>
      <c r="AD713" s="11"/>
      <c r="AE713" s="11"/>
      <c r="AF713" s="11"/>
      <c r="AG713" s="266"/>
      <c r="AH713" s="267"/>
      <c r="AI713" s="267"/>
    </row>
    <row r="714" spans="1:35" ht="13">
      <c r="A714" s="11"/>
      <c r="B714" s="11"/>
      <c r="C714" s="11"/>
      <c r="D714" s="11"/>
      <c r="E714" s="11"/>
      <c r="F714" s="270"/>
      <c r="G714" s="11"/>
      <c r="H714" s="11"/>
      <c r="I714" s="11"/>
      <c r="J714" s="11"/>
      <c r="K714" s="11"/>
      <c r="L714" s="11"/>
      <c r="M714" s="11"/>
      <c r="N714" s="11"/>
      <c r="O714" s="11"/>
      <c r="P714" s="263"/>
      <c r="Q714" s="263"/>
      <c r="R714" s="264"/>
      <c r="S714" s="264"/>
      <c r="T714" s="264"/>
      <c r="U714" s="11"/>
      <c r="V714" s="11"/>
      <c r="W714" s="11"/>
      <c r="X714" s="11"/>
      <c r="Y714" s="11"/>
      <c r="Z714" s="11"/>
      <c r="AA714" s="11"/>
      <c r="AB714" s="265"/>
      <c r="AC714" s="11"/>
      <c r="AD714" s="11"/>
      <c r="AE714" s="11"/>
      <c r="AF714" s="11"/>
      <c r="AG714" s="266"/>
      <c r="AH714" s="267"/>
      <c r="AI714" s="267"/>
    </row>
    <row r="715" spans="1:35" ht="13">
      <c r="A715" s="11"/>
      <c r="B715" s="11"/>
      <c r="C715" s="11"/>
      <c r="D715" s="11"/>
      <c r="E715" s="11"/>
      <c r="F715" s="270"/>
      <c r="G715" s="11"/>
      <c r="H715" s="11"/>
      <c r="I715" s="11"/>
      <c r="J715" s="11"/>
      <c r="K715" s="11"/>
      <c r="L715" s="11"/>
      <c r="M715" s="11"/>
      <c r="N715" s="11"/>
      <c r="O715" s="11"/>
      <c r="P715" s="263"/>
      <c r="Q715" s="263"/>
      <c r="R715" s="264"/>
      <c r="S715" s="264"/>
      <c r="T715" s="264"/>
      <c r="U715" s="11"/>
      <c r="V715" s="11"/>
      <c r="W715" s="11"/>
      <c r="X715" s="11"/>
      <c r="Y715" s="11"/>
      <c r="Z715" s="11"/>
      <c r="AA715" s="11"/>
      <c r="AB715" s="265"/>
      <c r="AC715" s="11"/>
      <c r="AD715" s="11"/>
      <c r="AE715" s="11"/>
      <c r="AF715" s="11"/>
      <c r="AG715" s="266"/>
      <c r="AH715" s="267"/>
      <c r="AI715" s="267"/>
    </row>
    <row r="716" spans="1:35" ht="13">
      <c r="A716" s="11"/>
      <c r="B716" s="11"/>
      <c r="C716" s="11"/>
      <c r="D716" s="11"/>
      <c r="E716" s="11"/>
      <c r="F716" s="270"/>
      <c r="G716" s="11"/>
      <c r="H716" s="11"/>
      <c r="I716" s="11"/>
      <c r="J716" s="11"/>
      <c r="K716" s="11"/>
      <c r="L716" s="11"/>
      <c r="M716" s="11"/>
      <c r="N716" s="11"/>
      <c r="O716" s="11"/>
      <c r="P716" s="263"/>
      <c r="Q716" s="263"/>
      <c r="R716" s="264"/>
      <c r="S716" s="264"/>
      <c r="T716" s="264"/>
      <c r="U716" s="11"/>
      <c r="V716" s="11"/>
      <c r="W716" s="11"/>
      <c r="X716" s="11"/>
      <c r="Y716" s="11"/>
      <c r="Z716" s="11"/>
      <c r="AA716" s="11"/>
      <c r="AB716" s="265"/>
      <c r="AC716" s="11"/>
      <c r="AD716" s="11"/>
      <c r="AE716" s="11"/>
      <c r="AF716" s="11"/>
      <c r="AG716" s="266"/>
      <c r="AH716" s="267"/>
      <c r="AI716" s="267"/>
    </row>
    <row r="717" spans="1:35" ht="13">
      <c r="A717" s="11"/>
      <c r="B717" s="11"/>
      <c r="C717" s="11"/>
      <c r="D717" s="11"/>
      <c r="E717" s="11"/>
      <c r="F717" s="270"/>
      <c r="G717" s="11"/>
      <c r="H717" s="11"/>
      <c r="I717" s="11"/>
      <c r="J717" s="11"/>
      <c r="K717" s="11"/>
      <c r="L717" s="11"/>
      <c r="M717" s="11"/>
      <c r="N717" s="11"/>
      <c r="O717" s="11"/>
      <c r="P717" s="263"/>
      <c r="Q717" s="263"/>
      <c r="R717" s="264"/>
      <c r="S717" s="264"/>
      <c r="T717" s="264"/>
      <c r="U717" s="11"/>
      <c r="V717" s="11"/>
      <c r="W717" s="11"/>
      <c r="X717" s="11"/>
      <c r="Y717" s="11"/>
      <c r="Z717" s="11"/>
      <c r="AA717" s="11"/>
      <c r="AB717" s="265"/>
      <c r="AC717" s="11"/>
      <c r="AD717" s="11"/>
      <c r="AE717" s="11"/>
      <c r="AF717" s="11"/>
      <c r="AG717" s="266"/>
      <c r="AH717" s="267"/>
      <c r="AI717" s="267"/>
    </row>
    <row r="718" spans="1:35" ht="13">
      <c r="A718" s="11"/>
      <c r="B718" s="11"/>
      <c r="C718" s="11"/>
      <c r="D718" s="11"/>
      <c r="E718" s="11"/>
      <c r="F718" s="270"/>
      <c r="G718" s="11"/>
      <c r="H718" s="11"/>
      <c r="I718" s="11"/>
      <c r="J718" s="11"/>
      <c r="K718" s="11"/>
      <c r="L718" s="11"/>
      <c r="M718" s="11"/>
      <c r="N718" s="11"/>
      <c r="O718" s="11"/>
      <c r="P718" s="263"/>
      <c r="Q718" s="263"/>
      <c r="R718" s="264"/>
      <c r="S718" s="264"/>
      <c r="T718" s="264"/>
      <c r="U718" s="11"/>
      <c r="V718" s="11"/>
      <c r="W718" s="11"/>
      <c r="X718" s="11"/>
      <c r="Y718" s="11"/>
      <c r="Z718" s="11"/>
      <c r="AA718" s="11"/>
      <c r="AB718" s="265"/>
      <c r="AC718" s="11"/>
      <c r="AD718" s="11"/>
      <c r="AE718" s="11"/>
      <c r="AF718" s="11"/>
      <c r="AG718" s="266"/>
      <c r="AH718" s="267"/>
      <c r="AI718" s="267"/>
    </row>
    <row r="719" spans="1:35" ht="13">
      <c r="A719" s="11"/>
      <c r="B719" s="11"/>
      <c r="C719" s="11"/>
      <c r="D719" s="11"/>
      <c r="E719" s="11"/>
      <c r="F719" s="270"/>
      <c r="G719" s="11"/>
      <c r="H719" s="11"/>
      <c r="I719" s="11"/>
      <c r="J719" s="11"/>
      <c r="K719" s="11"/>
      <c r="L719" s="11"/>
      <c r="M719" s="11"/>
      <c r="N719" s="11"/>
      <c r="O719" s="11"/>
      <c r="P719" s="263"/>
      <c r="Q719" s="263"/>
      <c r="R719" s="264"/>
      <c r="S719" s="264"/>
      <c r="T719" s="264"/>
      <c r="U719" s="11"/>
      <c r="V719" s="11"/>
      <c r="W719" s="11"/>
      <c r="X719" s="11"/>
      <c r="Y719" s="11"/>
      <c r="Z719" s="11"/>
      <c r="AA719" s="11"/>
      <c r="AB719" s="265"/>
      <c r="AC719" s="11"/>
      <c r="AD719" s="11"/>
      <c r="AE719" s="11"/>
      <c r="AF719" s="11"/>
      <c r="AG719" s="266"/>
      <c r="AH719" s="267"/>
      <c r="AI719" s="267"/>
    </row>
    <row r="720" spans="1:35" ht="13">
      <c r="A720" s="11"/>
      <c r="B720" s="11"/>
      <c r="C720" s="11"/>
      <c r="D720" s="11"/>
      <c r="E720" s="11"/>
      <c r="F720" s="270"/>
      <c r="G720" s="11"/>
      <c r="H720" s="11"/>
      <c r="I720" s="11"/>
      <c r="J720" s="11"/>
      <c r="K720" s="11"/>
      <c r="L720" s="11"/>
      <c r="M720" s="11"/>
      <c r="N720" s="11"/>
      <c r="O720" s="11"/>
      <c r="P720" s="263"/>
      <c r="Q720" s="263"/>
      <c r="R720" s="264"/>
      <c r="S720" s="264"/>
      <c r="T720" s="264"/>
      <c r="U720" s="11"/>
      <c r="V720" s="11"/>
      <c r="W720" s="11"/>
      <c r="X720" s="11"/>
      <c r="Y720" s="11"/>
      <c r="Z720" s="11"/>
      <c r="AA720" s="11"/>
      <c r="AB720" s="265"/>
      <c r="AC720" s="11"/>
      <c r="AD720" s="11"/>
      <c r="AE720" s="11"/>
      <c r="AF720" s="11"/>
      <c r="AG720" s="266"/>
      <c r="AH720" s="267"/>
      <c r="AI720" s="267"/>
    </row>
    <row r="721" spans="1:35" ht="13">
      <c r="A721" s="11"/>
      <c r="B721" s="11"/>
      <c r="C721" s="11"/>
      <c r="D721" s="11"/>
      <c r="E721" s="11"/>
      <c r="F721" s="270"/>
      <c r="G721" s="11"/>
      <c r="H721" s="11"/>
      <c r="I721" s="11"/>
      <c r="J721" s="11"/>
      <c r="K721" s="11"/>
      <c r="L721" s="11"/>
      <c r="M721" s="11"/>
      <c r="N721" s="11"/>
      <c r="O721" s="11"/>
      <c r="P721" s="263"/>
      <c r="Q721" s="263"/>
      <c r="R721" s="264"/>
      <c r="S721" s="264"/>
      <c r="T721" s="264"/>
      <c r="U721" s="11"/>
      <c r="V721" s="11"/>
      <c r="W721" s="11"/>
      <c r="X721" s="11"/>
      <c r="Y721" s="11"/>
      <c r="Z721" s="11"/>
      <c r="AA721" s="11"/>
      <c r="AB721" s="265"/>
      <c r="AC721" s="11"/>
      <c r="AD721" s="11"/>
      <c r="AE721" s="11"/>
      <c r="AF721" s="11"/>
      <c r="AG721" s="266"/>
      <c r="AH721" s="267"/>
      <c r="AI721" s="267"/>
    </row>
    <row r="722" spans="1:35" ht="13">
      <c r="A722" s="11"/>
      <c r="B722" s="11"/>
      <c r="C722" s="11"/>
      <c r="D722" s="11"/>
      <c r="E722" s="11"/>
      <c r="F722" s="270"/>
      <c r="G722" s="11"/>
      <c r="H722" s="11"/>
      <c r="I722" s="11"/>
      <c r="J722" s="11"/>
      <c r="K722" s="11"/>
      <c r="L722" s="11"/>
      <c r="M722" s="11"/>
      <c r="N722" s="11"/>
      <c r="O722" s="11"/>
      <c r="P722" s="263"/>
      <c r="Q722" s="263"/>
      <c r="R722" s="264"/>
      <c r="S722" s="264"/>
      <c r="T722" s="264"/>
      <c r="U722" s="11"/>
      <c r="V722" s="11"/>
      <c r="W722" s="11"/>
      <c r="X722" s="11"/>
      <c r="Y722" s="11"/>
      <c r="Z722" s="11"/>
      <c r="AA722" s="11"/>
      <c r="AB722" s="265"/>
      <c r="AC722" s="11"/>
      <c r="AD722" s="11"/>
      <c r="AE722" s="11"/>
      <c r="AF722" s="11"/>
      <c r="AG722" s="266"/>
      <c r="AH722" s="267"/>
      <c r="AI722" s="267"/>
    </row>
    <row r="723" spans="1:35" ht="13">
      <c r="A723" s="11"/>
      <c r="B723" s="11"/>
      <c r="C723" s="11"/>
      <c r="D723" s="11"/>
      <c r="E723" s="11"/>
      <c r="F723" s="270"/>
      <c r="G723" s="11"/>
      <c r="H723" s="11"/>
      <c r="I723" s="11"/>
      <c r="J723" s="11"/>
      <c r="K723" s="11"/>
      <c r="L723" s="11"/>
      <c r="M723" s="11"/>
      <c r="N723" s="11"/>
      <c r="O723" s="11"/>
      <c r="P723" s="263"/>
      <c r="Q723" s="263"/>
      <c r="R723" s="264"/>
      <c r="S723" s="264"/>
      <c r="T723" s="264"/>
      <c r="U723" s="11"/>
      <c r="V723" s="11"/>
      <c r="W723" s="11"/>
      <c r="X723" s="11"/>
      <c r="Y723" s="11"/>
      <c r="Z723" s="11"/>
      <c r="AA723" s="11"/>
      <c r="AB723" s="265"/>
      <c r="AC723" s="11"/>
      <c r="AD723" s="11"/>
      <c r="AE723" s="11"/>
      <c r="AF723" s="11"/>
      <c r="AG723" s="266"/>
      <c r="AH723" s="267"/>
      <c r="AI723" s="267"/>
    </row>
    <row r="724" spans="1:35" ht="13">
      <c r="A724" s="11"/>
      <c r="B724" s="11"/>
      <c r="C724" s="11"/>
      <c r="D724" s="11"/>
      <c r="E724" s="11"/>
      <c r="F724" s="270"/>
      <c r="G724" s="11"/>
      <c r="H724" s="11"/>
      <c r="I724" s="11"/>
      <c r="J724" s="11"/>
      <c r="K724" s="11"/>
      <c r="L724" s="11"/>
      <c r="M724" s="11"/>
      <c r="N724" s="11"/>
      <c r="O724" s="11"/>
      <c r="P724" s="263"/>
      <c r="Q724" s="263"/>
      <c r="R724" s="264"/>
      <c r="S724" s="264"/>
      <c r="T724" s="264"/>
      <c r="U724" s="11"/>
      <c r="V724" s="11"/>
      <c r="W724" s="11"/>
      <c r="X724" s="11"/>
      <c r="Y724" s="11"/>
      <c r="Z724" s="11"/>
      <c r="AA724" s="11"/>
      <c r="AB724" s="265"/>
      <c r="AC724" s="11"/>
      <c r="AD724" s="11"/>
      <c r="AE724" s="11"/>
      <c r="AF724" s="11"/>
      <c r="AG724" s="266"/>
      <c r="AH724" s="267"/>
      <c r="AI724" s="267"/>
    </row>
    <row r="725" spans="1:35" ht="13">
      <c r="A725" s="11"/>
      <c r="B725" s="11"/>
      <c r="C725" s="11"/>
      <c r="D725" s="11"/>
      <c r="E725" s="11"/>
      <c r="F725" s="270"/>
      <c r="G725" s="11"/>
      <c r="H725" s="11"/>
      <c r="I725" s="11"/>
      <c r="J725" s="11"/>
      <c r="K725" s="11"/>
      <c r="L725" s="11"/>
      <c r="M725" s="11"/>
      <c r="N725" s="11"/>
      <c r="O725" s="11"/>
      <c r="P725" s="263"/>
      <c r="Q725" s="263"/>
      <c r="R725" s="264"/>
      <c r="S725" s="264"/>
      <c r="T725" s="264"/>
      <c r="U725" s="11"/>
      <c r="V725" s="11"/>
      <c r="W725" s="11"/>
      <c r="X725" s="11"/>
      <c r="Y725" s="11"/>
      <c r="Z725" s="11"/>
      <c r="AA725" s="11"/>
      <c r="AB725" s="265"/>
      <c r="AC725" s="11"/>
      <c r="AD725" s="11"/>
      <c r="AE725" s="11"/>
      <c r="AF725" s="11"/>
      <c r="AG725" s="266"/>
      <c r="AH725" s="267"/>
      <c r="AI725" s="267"/>
    </row>
    <row r="726" spans="1:35" ht="13">
      <c r="A726" s="11"/>
      <c r="B726" s="11"/>
      <c r="C726" s="11"/>
      <c r="D726" s="11"/>
      <c r="E726" s="11"/>
      <c r="F726" s="270"/>
      <c r="G726" s="11"/>
      <c r="H726" s="11"/>
      <c r="I726" s="11"/>
      <c r="J726" s="11"/>
      <c r="K726" s="11"/>
      <c r="L726" s="11"/>
      <c r="M726" s="11"/>
      <c r="N726" s="11"/>
      <c r="O726" s="11"/>
      <c r="P726" s="263"/>
      <c r="Q726" s="263"/>
      <c r="R726" s="264"/>
      <c r="S726" s="264"/>
      <c r="T726" s="264"/>
      <c r="U726" s="11"/>
      <c r="V726" s="11"/>
      <c r="W726" s="11"/>
      <c r="X726" s="11"/>
      <c r="Y726" s="11"/>
      <c r="Z726" s="11"/>
      <c r="AA726" s="11"/>
      <c r="AB726" s="265"/>
      <c r="AC726" s="11"/>
      <c r="AD726" s="11"/>
      <c r="AE726" s="11"/>
      <c r="AF726" s="11"/>
      <c r="AG726" s="266"/>
      <c r="AH726" s="267"/>
      <c r="AI726" s="267"/>
    </row>
    <row r="727" spans="1:35" ht="13">
      <c r="A727" s="11"/>
      <c r="B727" s="11"/>
      <c r="C727" s="11"/>
      <c r="D727" s="11"/>
      <c r="E727" s="11"/>
      <c r="F727" s="270"/>
      <c r="G727" s="11"/>
      <c r="H727" s="11"/>
      <c r="I727" s="11"/>
      <c r="J727" s="11"/>
      <c r="K727" s="11"/>
      <c r="L727" s="11"/>
      <c r="M727" s="11"/>
      <c r="N727" s="11"/>
      <c r="O727" s="11"/>
      <c r="P727" s="263"/>
      <c r="Q727" s="263"/>
      <c r="R727" s="264"/>
      <c r="S727" s="264"/>
      <c r="T727" s="264"/>
      <c r="U727" s="11"/>
      <c r="V727" s="11"/>
      <c r="W727" s="11"/>
      <c r="X727" s="11"/>
      <c r="Y727" s="11"/>
      <c r="Z727" s="11"/>
      <c r="AA727" s="11"/>
      <c r="AB727" s="265"/>
      <c r="AC727" s="11"/>
      <c r="AD727" s="11"/>
      <c r="AE727" s="11"/>
      <c r="AF727" s="11"/>
      <c r="AG727" s="266"/>
      <c r="AH727" s="267"/>
      <c r="AI727" s="267"/>
    </row>
    <row r="728" spans="1:35" ht="13">
      <c r="A728" s="11"/>
      <c r="B728" s="11"/>
      <c r="C728" s="11"/>
      <c r="D728" s="11"/>
      <c r="E728" s="11"/>
      <c r="F728" s="270"/>
      <c r="G728" s="11"/>
      <c r="H728" s="11"/>
      <c r="I728" s="11"/>
      <c r="J728" s="11"/>
      <c r="K728" s="11"/>
      <c r="L728" s="11"/>
      <c r="M728" s="11"/>
      <c r="N728" s="11"/>
      <c r="O728" s="11"/>
      <c r="P728" s="263"/>
      <c r="Q728" s="263"/>
      <c r="R728" s="264"/>
      <c r="S728" s="264"/>
      <c r="T728" s="264"/>
      <c r="U728" s="11"/>
      <c r="V728" s="11"/>
      <c r="W728" s="11"/>
      <c r="X728" s="11"/>
      <c r="Y728" s="11"/>
      <c r="Z728" s="11"/>
      <c r="AA728" s="11"/>
      <c r="AB728" s="265"/>
      <c r="AC728" s="11"/>
      <c r="AD728" s="11"/>
      <c r="AE728" s="11"/>
      <c r="AF728" s="11"/>
      <c r="AG728" s="266"/>
      <c r="AH728" s="267"/>
      <c r="AI728" s="267"/>
    </row>
    <row r="729" spans="1:35" ht="13">
      <c r="A729" s="11"/>
      <c r="B729" s="11"/>
      <c r="C729" s="11"/>
      <c r="D729" s="11"/>
      <c r="E729" s="11"/>
      <c r="F729" s="270"/>
      <c r="G729" s="11"/>
      <c r="H729" s="11"/>
      <c r="I729" s="11"/>
      <c r="J729" s="11"/>
      <c r="K729" s="11"/>
      <c r="L729" s="11"/>
      <c r="M729" s="11"/>
      <c r="N729" s="11"/>
      <c r="O729" s="11"/>
      <c r="P729" s="263"/>
      <c r="Q729" s="263"/>
      <c r="R729" s="264"/>
      <c r="S729" s="264"/>
      <c r="T729" s="264"/>
      <c r="U729" s="11"/>
      <c r="V729" s="11"/>
      <c r="W729" s="11"/>
      <c r="X729" s="11"/>
      <c r="Y729" s="11"/>
      <c r="Z729" s="11"/>
      <c r="AA729" s="11"/>
      <c r="AB729" s="265"/>
      <c r="AC729" s="11"/>
      <c r="AD729" s="11"/>
      <c r="AE729" s="11"/>
      <c r="AF729" s="11"/>
      <c r="AG729" s="266"/>
      <c r="AH729" s="267"/>
      <c r="AI729" s="267"/>
    </row>
    <row r="730" spans="1:35" ht="13">
      <c r="A730" s="11"/>
      <c r="B730" s="11"/>
      <c r="C730" s="11"/>
      <c r="D730" s="11"/>
      <c r="E730" s="11"/>
      <c r="F730" s="270"/>
      <c r="G730" s="11"/>
      <c r="H730" s="11"/>
      <c r="I730" s="11"/>
      <c r="J730" s="11"/>
      <c r="K730" s="11"/>
      <c r="L730" s="11"/>
      <c r="M730" s="11"/>
      <c r="N730" s="11"/>
      <c r="O730" s="11"/>
      <c r="P730" s="263"/>
      <c r="Q730" s="263"/>
      <c r="R730" s="264"/>
      <c r="S730" s="264"/>
      <c r="T730" s="264"/>
      <c r="U730" s="11"/>
      <c r="V730" s="11"/>
      <c r="W730" s="11"/>
      <c r="X730" s="11"/>
      <c r="Y730" s="11"/>
      <c r="Z730" s="11"/>
      <c r="AA730" s="11"/>
      <c r="AB730" s="265"/>
      <c r="AC730" s="11"/>
      <c r="AD730" s="11"/>
      <c r="AE730" s="11"/>
      <c r="AF730" s="11"/>
      <c r="AG730" s="266"/>
      <c r="AH730" s="267"/>
      <c r="AI730" s="267"/>
    </row>
    <row r="731" spans="1:35" ht="13">
      <c r="A731" s="11"/>
      <c r="B731" s="11"/>
      <c r="C731" s="11"/>
      <c r="D731" s="11"/>
      <c r="E731" s="11"/>
      <c r="F731" s="270"/>
      <c r="G731" s="11"/>
      <c r="H731" s="11"/>
      <c r="I731" s="11"/>
      <c r="J731" s="11"/>
      <c r="K731" s="11"/>
      <c r="L731" s="11"/>
      <c r="M731" s="11"/>
      <c r="N731" s="11"/>
      <c r="O731" s="11"/>
      <c r="P731" s="263"/>
      <c r="Q731" s="263"/>
      <c r="R731" s="264"/>
      <c r="S731" s="264"/>
      <c r="T731" s="264"/>
      <c r="U731" s="11"/>
      <c r="V731" s="11"/>
      <c r="W731" s="11"/>
      <c r="X731" s="11"/>
      <c r="Y731" s="11"/>
      <c r="Z731" s="11"/>
      <c r="AA731" s="11"/>
      <c r="AB731" s="265"/>
      <c r="AC731" s="11"/>
      <c r="AD731" s="11"/>
      <c r="AE731" s="11"/>
      <c r="AF731" s="11"/>
      <c r="AG731" s="266"/>
      <c r="AH731" s="267"/>
      <c r="AI731" s="267"/>
    </row>
    <row r="732" spans="1:35" ht="13">
      <c r="A732" s="11"/>
      <c r="B732" s="11"/>
      <c r="C732" s="11"/>
      <c r="D732" s="11"/>
      <c r="E732" s="11"/>
      <c r="F732" s="270"/>
      <c r="G732" s="11"/>
      <c r="H732" s="11"/>
      <c r="I732" s="11"/>
      <c r="J732" s="11"/>
      <c r="K732" s="11"/>
      <c r="L732" s="11"/>
      <c r="M732" s="11"/>
      <c r="N732" s="11"/>
      <c r="O732" s="11"/>
      <c r="P732" s="263"/>
      <c r="Q732" s="263"/>
      <c r="R732" s="264"/>
      <c r="S732" s="264"/>
      <c r="T732" s="264"/>
      <c r="U732" s="11"/>
      <c r="V732" s="11"/>
      <c r="W732" s="11"/>
      <c r="X732" s="11"/>
      <c r="Y732" s="11"/>
      <c r="Z732" s="11"/>
      <c r="AA732" s="11"/>
      <c r="AB732" s="265"/>
      <c r="AC732" s="11"/>
      <c r="AD732" s="11"/>
      <c r="AE732" s="11"/>
      <c r="AF732" s="11"/>
      <c r="AG732" s="266"/>
      <c r="AH732" s="267"/>
      <c r="AI732" s="267"/>
    </row>
    <row r="733" spans="1:35" ht="13">
      <c r="A733" s="11"/>
      <c r="B733" s="11"/>
      <c r="C733" s="11"/>
      <c r="D733" s="11"/>
      <c r="E733" s="11"/>
      <c r="F733" s="270"/>
      <c r="G733" s="11"/>
      <c r="H733" s="11"/>
      <c r="I733" s="11"/>
      <c r="J733" s="11"/>
      <c r="K733" s="11"/>
      <c r="L733" s="11"/>
      <c r="M733" s="11"/>
      <c r="N733" s="11"/>
      <c r="O733" s="11"/>
      <c r="P733" s="263"/>
      <c r="Q733" s="263"/>
      <c r="R733" s="264"/>
      <c r="S733" s="264"/>
      <c r="T733" s="264"/>
      <c r="U733" s="11"/>
      <c r="V733" s="11"/>
      <c r="W733" s="11"/>
      <c r="X733" s="11"/>
      <c r="Y733" s="11"/>
      <c r="Z733" s="11"/>
      <c r="AA733" s="11"/>
      <c r="AB733" s="265"/>
      <c r="AC733" s="11"/>
      <c r="AD733" s="11"/>
      <c r="AE733" s="11"/>
      <c r="AF733" s="11"/>
      <c r="AG733" s="266"/>
      <c r="AH733" s="267"/>
      <c r="AI733" s="267"/>
    </row>
    <row r="734" spans="1:35" ht="13">
      <c r="A734" s="11"/>
      <c r="B734" s="11"/>
      <c r="C734" s="11"/>
      <c r="D734" s="11"/>
      <c r="E734" s="11"/>
      <c r="F734" s="270"/>
      <c r="G734" s="11"/>
      <c r="H734" s="11"/>
      <c r="I734" s="11"/>
      <c r="J734" s="11"/>
      <c r="K734" s="11"/>
      <c r="L734" s="11"/>
      <c r="M734" s="11"/>
      <c r="N734" s="11"/>
      <c r="O734" s="11"/>
      <c r="P734" s="263"/>
      <c r="Q734" s="263"/>
      <c r="R734" s="264"/>
      <c r="S734" s="264"/>
      <c r="T734" s="264"/>
      <c r="U734" s="11"/>
      <c r="V734" s="11"/>
      <c r="W734" s="11"/>
      <c r="X734" s="11"/>
      <c r="Y734" s="11"/>
      <c r="Z734" s="11"/>
      <c r="AA734" s="11"/>
      <c r="AB734" s="265"/>
      <c r="AC734" s="11"/>
      <c r="AD734" s="11"/>
      <c r="AE734" s="11"/>
      <c r="AF734" s="11"/>
      <c r="AG734" s="266"/>
      <c r="AH734" s="267"/>
      <c r="AI734" s="267"/>
    </row>
    <row r="735" spans="1:35" ht="13">
      <c r="A735" s="11"/>
      <c r="B735" s="11"/>
      <c r="C735" s="11"/>
      <c r="D735" s="11"/>
      <c r="E735" s="11"/>
      <c r="F735" s="270"/>
      <c r="G735" s="11"/>
      <c r="H735" s="11"/>
      <c r="I735" s="11"/>
      <c r="J735" s="11"/>
      <c r="K735" s="11"/>
      <c r="L735" s="11"/>
      <c r="M735" s="11"/>
      <c r="N735" s="11"/>
      <c r="O735" s="11"/>
      <c r="P735" s="263"/>
      <c r="Q735" s="263"/>
      <c r="R735" s="264"/>
      <c r="S735" s="264"/>
      <c r="T735" s="264"/>
      <c r="U735" s="11"/>
      <c r="V735" s="11"/>
      <c r="W735" s="11"/>
      <c r="X735" s="11"/>
      <c r="Y735" s="11"/>
      <c r="Z735" s="11"/>
      <c r="AA735" s="11"/>
      <c r="AB735" s="265"/>
      <c r="AC735" s="11"/>
      <c r="AD735" s="11"/>
      <c r="AE735" s="11"/>
      <c r="AF735" s="11"/>
      <c r="AG735" s="266"/>
      <c r="AH735" s="267"/>
      <c r="AI735" s="267"/>
    </row>
    <row r="736" spans="1:35" ht="13">
      <c r="A736" s="11"/>
      <c r="B736" s="11"/>
      <c r="C736" s="11"/>
      <c r="D736" s="11"/>
      <c r="E736" s="11"/>
      <c r="F736" s="270"/>
      <c r="G736" s="11"/>
      <c r="H736" s="11"/>
      <c r="I736" s="11"/>
      <c r="J736" s="11"/>
      <c r="K736" s="11"/>
      <c r="L736" s="11"/>
      <c r="M736" s="11"/>
      <c r="N736" s="11"/>
      <c r="O736" s="11"/>
      <c r="P736" s="263"/>
      <c r="Q736" s="263"/>
      <c r="R736" s="264"/>
      <c r="S736" s="264"/>
      <c r="T736" s="264"/>
      <c r="U736" s="11"/>
      <c r="V736" s="11"/>
      <c r="W736" s="11"/>
      <c r="X736" s="11"/>
      <c r="Y736" s="11"/>
      <c r="Z736" s="11"/>
      <c r="AA736" s="11"/>
      <c r="AB736" s="265"/>
      <c r="AC736" s="11"/>
      <c r="AD736" s="11"/>
      <c r="AE736" s="11"/>
      <c r="AF736" s="11"/>
      <c r="AG736" s="266"/>
      <c r="AH736" s="267"/>
      <c r="AI736" s="267"/>
    </row>
    <row r="737" spans="1:35" ht="13">
      <c r="A737" s="11"/>
      <c r="B737" s="11"/>
      <c r="C737" s="11"/>
      <c r="D737" s="11"/>
      <c r="E737" s="11"/>
      <c r="F737" s="270"/>
      <c r="G737" s="11"/>
      <c r="H737" s="11"/>
      <c r="I737" s="11"/>
      <c r="J737" s="11"/>
      <c r="K737" s="11"/>
      <c r="L737" s="11"/>
      <c r="M737" s="11"/>
      <c r="N737" s="11"/>
      <c r="O737" s="11"/>
      <c r="P737" s="263"/>
      <c r="Q737" s="263"/>
      <c r="R737" s="264"/>
      <c r="S737" s="264"/>
      <c r="T737" s="264"/>
      <c r="U737" s="11"/>
      <c r="V737" s="11"/>
      <c r="W737" s="11"/>
      <c r="X737" s="11"/>
      <c r="Y737" s="11"/>
      <c r="Z737" s="11"/>
      <c r="AA737" s="11"/>
      <c r="AB737" s="265"/>
      <c r="AC737" s="11"/>
      <c r="AD737" s="11"/>
      <c r="AE737" s="11"/>
      <c r="AF737" s="11"/>
      <c r="AG737" s="266"/>
      <c r="AH737" s="267"/>
      <c r="AI737" s="267"/>
    </row>
    <row r="738" spans="1:35" ht="13">
      <c r="A738" s="11"/>
      <c r="B738" s="11"/>
      <c r="C738" s="11"/>
      <c r="D738" s="11"/>
      <c r="E738" s="11"/>
      <c r="F738" s="270"/>
      <c r="G738" s="11"/>
      <c r="H738" s="11"/>
      <c r="I738" s="11"/>
      <c r="J738" s="11"/>
      <c r="K738" s="11"/>
      <c r="L738" s="11"/>
      <c r="M738" s="11"/>
      <c r="N738" s="11"/>
      <c r="O738" s="11"/>
      <c r="P738" s="263"/>
      <c r="Q738" s="263"/>
      <c r="R738" s="264"/>
      <c r="S738" s="264"/>
      <c r="T738" s="264"/>
      <c r="U738" s="11"/>
      <c r="V738" s="11"/>
      <c r="W738" s="11"/>
      <c r="X738" s="11"/>
      <c r="Y738" s="11"/>
      <c r="Z738" s="11"/>
      <c r="AA738" s="11"/>
      <c r="AB738" s="265"/>
      <c r="AC738" s="11"/>
      <c r="AD738" s="11"/>
      <c r="AE738" s="11"/>
      <c r="AF738" s="11"/>
      <c r="AG738" s="266"/>
      <c r="AH738" s="267"/>
      <c r="AI738" s="267"/>
    </row>
    <row r="739" spans="1:35" ht="13">
      <c r="A739" s="11"/>
      <c r="B739" s="11"/>
      <c r="C739" s="11"/>
      <c r="D739" s="11"/>
      <c r="E739" s="11"/>
      <c r="F739" s="270"/>
      <c r="G739" s="11"/>
      <c r="H739" s="11"/>
      <c r="I739" s="11"/>
      <c r="J739" s="11"/>
      <c r="K739" s="11"/>
      <c r="L739" s="11"/>
      <c r="M739" s="11"/>
      <c r="N739" s="11"/>
      <c r="O739" s="11"/>
      <c r="P739" s="263"/>
      <c r="Q739" s="263"/>
      <c r="R739" s="264"/>
      <c r="S739" s="264"/>
      <c r="T739" s="264"/>
      <c r="U739" s="11"/>
      <c r="V739" s="11"/>
      <c r="W739" s="11"/>
      <c r="X739" s="11"/>
      <c r="Y739" s="11"/>
      <c r="Z739" s="11"/>
      <c r="AA739" s="11"/>
      <c r="AB739" s="265"/>
      <c r="AC739" s="11"/>
      <c r="AD739" s="11"/>
      <c r="AE739" s="11"/>
      <c r="AF739" s="11"/>
      <c r="AG739" s="266"/>
      <c r="AH739" s="267"/>
      <c r="AI739" s="267"/>
    </row>
    <row r="740" spans="1:35" ht="13">
      <c r="A740" s="11"/>
      <c r="B740" s="11"/>
      <c r="C740" s="11"/>
      <c r="D740" s="11"/>
      <c r="E740" s="11"/>
      <c r="F740" s="270"/>
      <c r="G740" s="11"/>
      <c r="H740" s="11"/>
      <c r="I740" s="11"/>
      <c r="J740" s="11"/>
      <c r="K740" s="11"/>
      <c r="L740" s="11"/>
      <c r="M740" s="11"/>
      <c r="N740" s="11"/>
      <c r="O740" s="11"/>
      <c r="P740" s="263"/>
      <c r="Q740" s="263"/>
      <c r="R740" s="264"/>
      <c r="S740" s="264"/>
      <c r="T740" s="264"/>
      <c r="U740" s="11"/>
      <c r="V740" s="11"/>
      <c r="W740" s="11"/>
      <c r="X740" s="11"/>
      <c r="Y740" s="11"/>
      <c r="Z740" s="11"/>
      <c r="AA740" s="11"/>
      <c r="AB740" s="265"/>
      <c r="AC740" s="11"/>
      <c r="AD740" s="11"/>
      <c r="AE740" s="11"/>
      <c r="AF740" s="11"/>
      <c r="AG740" s="266"/>
      <c r="AH740" s="267"/>
      <c r="AI740" s="267"/>
    </row>
    <row r="741" spans="1:35" ht="13">
      <c r="A741" s="11"/>
      <c r="B741" s="11"/>
      <c r="C741" s="11"/>
      <c r="D741" s="11"/>
      <c r="E741" s="11"/>
      <c r="F741" s="270"/>
      <c r="G741" s="11"/>
      <c r="H741" s="11"/>
      <c r="I741" s="11"/>
      <c r="J741" s="11"/>
      <c r="K741" s="11"/>
      <c r="L741" s="11"/>
      <c r="M741" s="11"/>
      <c r="N741" s="11"/>
      <c r="O741" s="11"/>
      <c r="P741" s="263"/>
      <c r="Q741" s="263"/>
      <c r="R741" s="264"/>
      <c r="S741" s="264"/>
      <c r="T741" s="264"/>
      <c r="U741" s="11"/>
      <c r="V741" s="11"/>
      <c r="W741" s="11"/>
      <c r="X741" s="11"/>
      <c r="Y741" s="11"/>
      <c r="Z741" s="11"/>
      <c r="AA741" s="11"/>
      <c r="AB741" s="265"/>
      <c r="AC741" s="11"/>
      <c r="AD741" s="11"/>
      <c r="AE741" s="11"/>
      <c r="AF741" s="11"/>
      <c r="AG741" s="266"/>
      <c r="AH741" s="267"/>
      <c r="AI741" s="267"/>
    </row>
    <row r="742" spans="1:35" ht="13">
      <c r="A742" s="11"/>
      <c r="B742" s="11"/>
      <c r="C742" s="11"/>
      <c r="D742" s="11"/>
      <c r="E742" s="11"/>
      <c r="F742" s="270"/>
      <c r="G742" s="11"/>
      <c r="H742" s="11"/>
      <c r="I742" s="11"/>
      <c r="J742" s="11"/>
      <c r="K742" s="11"/>
      <c r="L742" s="11"/>
      <c r="M742" s="11"/>
      <c r="N742" s="11"/>
      <c r="O742" s="11"/>
      <c r="P742" s="263"/>
      <c r="Q742" s="263"/>
      <c r="R742" s="264"/>
      <c r="S742" s="264"/>
      <c r="T742" s="264"/>
      <c r="U742" s="11"/>
      <c r="V742" s="11"/>
      <c r="W742" s="11"/>
      <c r="X742" s="11"/>
      <c r="Y742" s="11"/>
      <c r="Z742" s="11"/>
      <c r="AA742" s="11"/>
      <c r="AB742" s="265"/>
      <c r="AC742" s="11"/>
      <c r="AD742" s="11"/>
      <c r="AE742" s="11"/>
      <c r="AF742" s="11"/>
      <c r="AG742" s="266"/>
      <c r="AH742" s="267"/>
      <c r="AI742" s="267"/>
    </row>
    <row r="743" spans="1:35" ht="13">
      <c r="A743" s="11"/>
      <c r="B743" s="11"/>
      <c r="C743" s="11"/>
      <c r="D743" s="11"/>
      <c r="E743" s="11"/>
      <c r="F743" s="270"/>
      <c r="G743" s="11"/>
      <c r="H743" s="11"/>
      <c r="I743" s="11"/>
      <c r="J743" s="11"/>
      <c r="K743" s="11"/>
      <c r="L743" s="11"/>
      <c r="M743" s="11"/>
      <c r="N743" s="11"/>
      <c r="O743" s="11"/>
      <c r="P743" s="263"/>
      <c r="Q743" s="263"/>
      <c r="R743" s="264"/>
      <c r="S743" s="264"/>
      <c r="T743" s="264"/>
      <c r="U743" s="11"/>
      <c r="V743" s="11"/>
      <c r="W743" s="11"/>
      <c r="X743" s="11"/>
      <c r="Y743" s="11"/>
      <c r="Z743" s="11"/>
      <c r="AA743" s="11"/>
      <c r="AB743" s="265"/>
      <c r="AC743" s="11"/>
      <c r="AD743" s="11"/>
      <c r="AE743" s="11"/>
      <c r="AF743" s="11"/>
      <c r="AG743" s="266"/>
      <c r="AH743" s="267"/>
      <c r="AI743" s="267"/>
    </row>
    <row r="744" spans="1:35" ht="13">
      <c r="A744" s="11"/>
      <c r="B744" s="11"/>
      <c r="C744" s="11"/>
      <c r="D744" s="11"/>
      <c r="E744" s="11"/>
      <c r="F744" s="270"/>
      <c r="G744" s="11"/>
      <c r="H744" s="11"/>
      <c r="I744" s="11"/>
      <c r="J744" s="11"/>
      <c r="K744" s="11"/>
      <c r="L744" s="11"/>
      <c r="M744" s="11"/>
      <c r="N744" s="11"/>
      <c r="O744" s="11"/>
      <c r="P744" s="263"/>
      <c r="Q744" s="263"/>
      <c r="R744" s="264"/>
      <c r="S744" s="264"/>
      <c r="T744" s="264"/>
      <c r="U744" s="11"/>
      <c r="V744" s="11"/>
      <c r="W744" s="11"/>
      <c r="X744" s="11"/>
      <c r="Y744" s="11"/>
      <c r="Z744" s="11"/>
      <c r="AA744" s="11"/>
      <c r="AB744" s="265"/>
      <c r="AC744" s="11"/>
      <c r="AD744" s="11"/>
      <c r="AE744" s="11"/>
      <c r="AF744" s="11"/>
      <c r="AG744" s="266"/>
      <c r="AH744" s="267"/>
      <c r="AI744" s="267"/>
    </row>
    <row r="745" spans="1:35" ht="13">
      <c r="A745" s="11"/>
      <c r="B745" s="11"/>
      <c r="C745" s="11"/>
      <c r="D745" s="11"/>
      <c r="E745" s="11"/>
      <c r="F745" s="270"/>
      <c r="G745" s="11"/>
      <c r="H745" s="11"/>
      <c r="I745" s="11"/>
      <c r="J745" s="11"/>
      <c r="K745" s="11"/>
      <c r="L745" s="11"/>
      <c r="M745" s="11"/>
      <c r="N745" s="11"/>
      <c r="O745" s="11"/>
      <c r="P745" s="263"/>
      <c r="Q745" s="263"/>
      <c r="R745" s="264"/>
      <c r="S745" s="264"/>
      <c r="T745" s="264"/>
      <c r="U745" s="11"/>
      <c r="V745" s="11"/>
      <c r="W745" s="11"/>
      <c r="X745" s="11"/>
      <c r="Y745" s="11"/>
      <c r="Z745" s="11"/>
      <c r="AA745" s="11"/>
      <c r="AB745" s="265"/>
      <c r="AC745" s="11"/>
      <c r="AD745" s="11"/>
      <c r="AE745" s="11"/>
      <c r="AF745" s="11"/>
      <c r="AG745" s="266"/>
      <c r="AH745" s="267"/>
      <c r="AI745" s="267"/>
    </row>
    <row r="746" spans="1:35" ht="13">
      <c r="A746" s="11"/>
      <c r="B746" s="11"/>
      <c r="C746" s="11"/>
      <c r="D746" s="11"/>
      <c r="E746" s="11"/>
      <c r="F746" s="270"/>
      <c r="G746" s="11"/>
      <c r="H746" s="11"/>
      <c r="I746" s="11"/>
      <c r="J746" s="11"/>
      <c r="K746" s="11"/>
      <c r="L746" s="11"/>
      <c r="M746" s="11"/>
      <c r="N746" s="11"/>
      <c r="O746" s="11"/>
      <c r="P746" s="263"/>
      <c r="Q746" s="263"/>
      <c r="R746" s="264"/>
      <c r="S746" s="264"/>
      <c r="T746" s="264"/>
      <c r="U746" s="11"/>
      <c r="V746" s="11"/>
      <c r="W746" s="11"/>
      <c r="X746" s="11"/>
      <c r="Y746" s="11"/>
      <c r="Z746" s="11"/>
      <c r="AA746" s="11"/>
      <c r="AB746" s="265"/>
      <c r="AC746" s="11"/>
      <c r="AD746" s="11"/>
      <c r="AE746" s="11"/>
      <c r="AF746" s="11"/>
      <c r="AG746" s="266"/>
      <c r="AH746" s="267"/>
      <c r="AI746" s="267"/>
    </row>
    <row r="747" spans="1:35" ht="13">
      <c r="A747" s="11"/>
      <c r="B747" s="11"/>
      <c r="C747" s="11"/>
      <c r="D747" s="11"/>
      <c r="E747" s="11"/>
      <c r="F747" s="270"/>
      <c r="G747" s="11"/>
      <c r="H747" s="11"/>
      <c r="I747" s="11"/>
      <c r="J747" s="11"/>
      <c r="K747" s="11"/>
      <c r="L747" s="11"/>
      <c r="M747" s="11"/>
      <c r="N747" s="11"/>
      <c r="O747" s="11"/>
      <c r="P747" s="263"/>
      <c r="Q747" s="263"/>
      <c r="R747" s="264"/>
      <c r="S747" s="264"/>
      <c r="T747" s="264"/>
      <c r="U747" s="11"/>
      <c r="V747" s="11"/>
      <c r="W747" s="11"/>
      <c r="X747" s="11"/>
      <c r="Y747" s="11"/>
      <c r="Z747" s="11"/>
      <c r="AA747" s="11"/>
      <c r="AB747" s="265"/>
      <c r="AC747" s="11"/>
      <c r="AD747" s="11"/>
      <c r="AE747" s="11"/>
      <c r="AF747" s="11"/>
      <c r="AG747" s="266"/>
      <c r="AH747" s="267"/>
      <c r="AI747" s="267"/>
    </row>
    <row r="748" spans="1:35" ht="13">
      <c r="A748" s="11"/>
      <c r="B748" s="11"/>
      <c r="C748" s="11"/>
      <c r="D748" s="11"/>
      <c r="E748" s="11"/>
      <c r="F748" s="270"/>
      <c r="G748" s="11"/>
      <c r="H748" s="11"/>
      <c r="I748" s="11"/>
      <c r="J748" s="11"/>
      <c r="K748" s="11"/>
      <c r="L748" s="11"/>
      <c r="M748" s="11"/>
      <c r="N748" s="11"/>
      <c r="O748" s="11"/>
      <c r="P748" s="263"/>
      <c r="Q748" s="263"/>
      <c r="R748" s="264"/>
      <c r="S748" s="264"/>
      <c r="T748" s="264"/>
      <c r="U748" s="11"/>
      <c r="V748" s="11"/>
      <c r="W748" s="11"/>
      <c r="X748" s="11"/>
      <c r="Y748" s="11"/>
      <c r="Z748" s="11"/>
      <c r="AA748" s="11"/>
      <c r="AB748" s="265"/>
      <c r="AC748" s="11"/>
      <c r="AD748" s="11"/>
      <c r="AE748" s="11"/>
      <c r="AF748" s="11"/>
      <c r="AG748" s="266"/>
      <c r="AH748" s="267"/>
      <c r="AI748" s="267"/>
    </row>
    <row r="749" spans="1:35" ht="13">
      <c r="A749" s="11"/>
      <c r="B749" s="11"/>
      <c r="C749" s="11"/>
      <c r="D749" s="11"/>
      <c r="E749" s="11"/>
      <c r="F749" s="270"/>
      <c r="G749" s="11"/>
      <c r="H749" s="11"/>
      <c r="I749" s="11"/>
      <c r="J749" s="11"/>
      <c r="K749" s="11"/>
      <c r="L749" s="11"/>
      <c r="M749" s="11"/>
      <c r="N749" s="11"/>
      <c r="O749" s="11"/>
      <c r="P749" s="263"/>
      <c r="Q749" s="263"/>
      <c r="R749" s="264"/>
      <c r="S749" s="264"/>
      <c r="T749" s="264"/>
      <c r="U749" s="11"/>
      <c r="V749" s="11"/>
      <c r="W749" s="11"/>
      <c r="X749" s="11"/>
      <c r="Y749" s="11"/>
      <c r="Z749" s="11"/>
      <c r="AA749" s="11"/>
      <c r="AB749" s="265"/>
      <c r="AC749" s="11"/>
      <c r="AD749" s="11"/>
      <c r="AE749" s="11"/>
      <c r="AF749" s="11"/>
      <c r="AG749" s="266"/>
      <c r="AH749" s="267"/>
      <c r="AI749" s="267"/>
    </row>
    <row r="750" spans="1:35" ht="13">
      <c r="A750" s="11"/>
      <c r="B750" s="11"/>
      <c r="C750" s="11"/>
      <c r="D750" s="11"/>
      <c r="E750" s="11"/>
      <c r="F750" s="270"/>
      <c r="G750" s="11"/>
      <c r="H750" s="11"/>
      <c r="I750" s="11"/>
      <c r="J750" s="11"/>
      <c r="K750" s="11"/>
      <c r="L750" s="11"/>
      <c r="M750" s="11"/>
      <c r="N750" s="11"/>
      <c r="O750" s="11"/>
      <c r="P750" s="263"/>
      <c r="Q750" s="263"/>
      <c r="R750" s="264"/>
      <c r="S750" s="264"/>
      <c r="T750" s="264"/>
      <c r="U750" s="11"/>
      <c r="V750" s="11"/>
      <c r="W750" s="11"/>
      <c r="X750" s="11"/>
      <c r="Y750" s="11"/>
      <c r="Z750" s="11"/>
      <c r="AA750" s="11"/>
      <c r="AB750" s="265"/>
      <c r="AC750" s="11"/>
      <c r="AD750" s="11"/>
      <c r="AE750" s="11"/>
      <c r="AF750" s="11"/>
      <c r="AG750" s="266"/>
      <c r="AH750" s="267"/>
      <c r="AI750" s="267"/>
    </row>
    <row r="751" spans="1:35" ht="13">
      <c r="A751" s="11"/>
      <c r="B751" s="11"/>
      <c r="C751" s="11"/>
      <c r="D751" s="11"/>
      <c r="E751" s="11"/>
      <c r="F751" s="270"/>
      <c r="G751" s="11"/>
      <c r="H751" s="11"/>
      <c r="I751" s="11"/>
      <c r="J751" s="11"/>
      <c r="K751" s="11"/>
      <c r="L751" s="11"/>
      <c r="M751" s="11"/>
      <c r="N751" s="11"/>
      <c r="O751" s="11"/>
      <c r="P751" s="263"/>
      <c r="Q751" s="263"/>
      <c r="R751" s="264"/>
      <c r="S751" s="264"/>
      <c r="T751" s="264"/>
      <c r="U751" s="11"/>
      <c r="V751" s="11"/>
      <c r="W751" s="11"/>
      <c r="X751" s="11"/>
      <c r="Y751" s="11"/>
      <c r="Z751" s="11"/>
      <c r="AA751" s="11"/>
      <c r="AB751" s="265"/>
      <c r="AC751" s="11"/>
      <c r="AD751" s="11"/>
      <c r="AE751" s="11"/>
      <c r="AF751" s="11"/>
      <c r="AG751" s="266"/>
      <c r="AH751" s="267"/>
      <c r="AI751" s="267"/>
    </row>
    <row r="752" spans="1:35" ht="13">
      <c r="A752" s="11"/>
      <c r="B752" s="11"/>
      <c r="C752" s="11"/>
      <c r="D752" s="11"/>
      <c r="E752" s="11"/>
      <c r="F752" s="270"/>
      <c r="G752" s="11"/>
      <c r="H752" s="11"/>
      <c r="I752" s="11"/>
      <c r="J752" s="11"/>
      <c r="K752" s="11"/>
      <c r="L752" s="11"/>
      <c r="M752" s="11"/>
      <c r="N752" s="11"/>
      <c r="O752" s="11"/>
      <c r="P752" s="263"/>
      <c r="Q752" s="263"/>
      <c r="R752" s="264"/>
      <c r="S752" s="264"/>
      <c r="T752" s="264"/>
      <c r="U752" s="11"/>
      <c r="V752" s="11"/>
      <c r="W752" s="11"/>
      <c r="X752" s="11"/>
      <c r="Y752" s="11"/>
      <c r="Z752" s="11"/>
      <c r="AA752" s="11"/>
      <c r="AB752" s="265"/>
      <c r="AC752" s="11"/>
      <c r="AD752" s="11"/>
      <c r="AE752" s="11"/>
      <c r="AF752" s="11"/>
      <c r="AG752" s="266"/>
      <c r="AH752" s="267"/>
      <c r="AI752" s="267"/>
    </row>
    <row r="753" spans="1:35" ht="13">
      <c r="A753" s="11"/>
      <c r="B753" s="11"/>
      <c r="C753" s="11"/>
      <c r="D753" s="11"/>
      <c r="E753" s="11"/>
      <c r="F753" s="270"/>
      <c r="G753" s="11"/>
      <c r="H753" s="11"/>
      <c r="I753" s="11"/>
      <c r="J753" s="11"/>
      <c r="K753" s="11"/>
      <c r="L753" s="11"/>
      <c r="M753" s="11"/>
      <c r="N753" s="11"/>
      <c r="O753" s="11"/>
      <c r="P753" s="263"/>
      <c r="Q753" s="263"/>
      <c r="R753" s="264"/>
      <c r="S753" s="264"/>
      <c r="T753" s="264"/>
      <c r="U753" s="11"/>
      <c r="V753" s="11"/>
      <c r="W753" s="11"/>
      <c r="X753" s="11"/>
      <c r="Y753" s="11"/>
      <c r="Z753" s="11"/>
      <c r="AA753" s="11"/>
      <c r="AB753" s="265"/>
      <c r="AC753" s="11"/>
      <c r="AD753" s="11"/>
      <c r="AE753" s="11"/>
      <c r="AF753" s="11"/>
      <c r="AG753" s="266"/>
      <c r="AH753" s="267"/>
      <c r="AI753" s="267"/>
    </row>
    <row r="754" spans="1:35" ht="13">
      <c r="A754" s="11"/>
      <c r="B754" s="11"/>
      <c r="C754" s="11"/>
      <c r="D754" s="11"/>
      <c r="E754" s="11"/>
      <c r="F754" s="270"/>
      <c r="G754" s="11"/>
      <c r="H754" s="11"/>
      <c r="I754" s="11"/>
      <c r="J754" s="11"/>
      <c r="K754" s="11"/>
      <c r="L754" s="11"/>
      <c r="M754" s="11"/>
      <c r="N754" s="11"/>
      <c r="O754" s="11"/>
      <c r="P754" s="263"/>
      <c r="Q754" s="263"/>
      <c r="R754" s="264"/>
      <c r="S754" s="264"/>
      <c r="T754" s="264"/>
      <c r="U754" s="11"/>
      <c r="V754" s="11"/>
      <c r="W754" s="11"/>
      <c r="X754" s="11"/>
      <c r="Y754" s="11"/>
      <c r="Z754" s="11"/>
      <c r="AA754" s="11"/>
      <c r="AB754" s="265"/>
      <c r="AC754" s="11"/>
      <c r="AD754" s="11"/>
      <c r="AE754" s="11"/>
      <c r="AF754" s="11"/>
      <c r="AG754" s="266"/>
      <c r="AH754" s="267"/>
      <c r="AI754" s="267"/>
    </row>
    <row r="755" spans="1:35" ht="13">
      <c r="A755" s="11"/>
      <c r="B755" s="11"/>
      <c r="C755" s="11"/>
      <c r="D755" s="11"/>
      <c r="E755" s="11"/>
      <c r="F755" s="270"/>
      <c r="G755" s="11"/>
      <c r="H755" s="11"/>
      <c r="I755" s="11"/>
      <c r="J755" s="11"/>
      <c r="K755" s="11"/>
      <c r="L755" s="11"/>
      <c r="M755" s="11"/>
      <c r="N755" s="11"/>
      <c r="O755" s="11"/>
      <c r="P755" s="263"/>
      <c r="Q755" s="263"/>
      <c r="R755" s="264"/>
      <c r="S755" s="264"/>
      <c r="T755" s="264"/>
      <c r="U755" s="11"/>
      <c r="V755" s="11"/>
      <c r="W755" s="11"/>
      <c r="X755" s="11"/>
      <c r="Y755" s="11"/>
      <c r="Z755" s="11"/>
      <c r="AA755" s="11"/>
      <c r="AB755" s="265"/>
      <c r="AC755" s="11"/>
      <c r="AD755" s="11"/>
      <c r="AE755" s="11"/>
      <c r="AF755" s="11"/>
      <c r="AG755" s="266"/>
      <c r="AH755" s="267"/>
      <c r="AI755" s="267"/>
    </row>
    <row r="756" spans="1:35" ht="13">
      <c r="A756" s="11"/>
      <c r="B756" s="11"/>
      <c r="C756" s="11"/>
      <c r="D756" s="11"/>
      <c r="E756" s="11"/>
      <c r="F756" s="270"/>
      <c r="G756" s="11"/>
      <c r="H756" s="11"/>
      <c r="I756" s="11"/>
      <c r="J756" s="11"/>
      <c r="K756" s="11"/>
      <c r="L756" s="11"/>
      <c r="M756" s="11"/>
      <c r="N756" s="11"/>
      <c r="O756" s="11"/>
      <c r="P756" s="263"/>
      <c r="Q756" s="263"/>
      <c r="R756" s="264"/>
      <c r="S756" s="264"/>
      <c r="T756" s="264"/>
      <c r="U756" s="11"/>
      <c r="V756" s="11"/>
      <c r="W756" s="11"/>
      <c r="X756" s="11"/>
      <c r="Y756" s="11"/>
      <c r="Z756" s="11"/>
      <c r="AA756" s="11"/>
      <c r="AB756" s="265"/>
      <c r="AC756" s="11"/>
      <c r="AD756" s="11"/>
      <c r="AE756" s="11"/>
      <c r="AF756" s="11"/>
      <c r="AG756" s="266"/>
      <c r="AH756" s="267"/>
      <c r="AI756" s="267"/>
    </row>
    <row r="757" spans="1:35" ht="13">
      <c r="A757" s="11"/>
      <c r="B757" s="11"/>
      <c r="C757" s="11"/>
      <c r="D757" s="11"/>
      <c r="E757" s="11"/>
      <c r="F757" s="270"/>
      <c r="G757" s="11"/>
      <c r="H757" s="11"/>
      <c r="I757" s="11"/>
      <c r="J757" s="11"/>
      <c r="K757" s="11"/>
      <c r="L757" s="11"/>
      <c r="M757" s="11"/>
      <c r="N757" s="11"/>
      <c r="O757" s="11"/>
      <c r="P757" s="263"/>
      <c r="Q757" s="263"/>
      <c r="R757" s="264"/>
      <c r="S757" s="264"/>
      <c r="T757" s="264"/>
      <c r="U757" s="11"/>
      <c r="V757" s="11"/>
      <c r="W757" s="11"/>
      <c r="X757" s="11"/>
      <c r="Y757" s="11"/>
      <c r="Z757" s="11"/>
      <c r="AA757" s="11"/>
      <c r="AB757" s="265"/>
      <c r="AC757" s="11"/>
      <c r="AD757" s="11"/>
      <c r="AE757" s="11"/>
      <c r="AF757" s="11"/>
      <c r="AG757" s="266"/>
      <c r="AH757" s="267"/>
      <c r="AI757" s="267"/>
    </row>
    <row r="758" spans="1:35" ht="13">
      <c r="A758" s="11"/>
      <c r="B758" s="11"/>
      <c r="C758" s="11"/>
      <c r="D758" s="11"/>
      <c r="E758" s="11"/>
      <c r="F758" s="270"/>
      <c r="G758" s="11"/>
      <c r="H758" s="11"/>
      <c r="I758" s="11"/>
      <c r="J758" s="11"/>
      <c r="K758" s="11"/>
      <c r="L758" s="11"/>
      <c r="M758" s="11"/>
      <c r="N758" s="11"/>
      <c r="O758" s="11"/>
      <c r="P758" s="263"/>
      <c r="Q758" s="263"/>
      <c r="R758" s="264"/>
      <c r="S758" s="264"/>
      <c r="T758" s="264"/>
      <c r="U758" s="11"/>
      <c r="V758" s="11"/>
      <c r="W758" s="11"/>
      <c r="X758" s="11"/>
      <c r="Y758" s="11"/>
      <c r="Z758" s="11"/>
      <c r="AA758" s="11"/>
      <c r="AB758" s="265"/>
      <c r="AC758" s="11"/>
      <c r="AD758" s="11"/>
      <c r="AE758" s="11"/>
      <c r="AF758" s="11"/>
      <c r="AG758" s="266"/>
      <c r="AH758" s="267"/>
      <c r="AI758" s="267"/>
    </row>
    <row r="759" spans="1:35" ht="13">
      <c r="A759" s="11"/>
      <c r="B759" s="11"/>
      <c r="C759" s="11"/>
      <c r="D759" s="11"/>
      <c r="E759" s="11"/>
      <c r="F759" s="270"/>
      <c r="G759" s="11"/>
      <c r="H759" s="11"/>
      <c r="I759" s="11"/>
      <c r="J759" s="11"/>
      <c r="K759" s="11"/>
      <c r="L759" s="11"/>
      <c r="M759" s="11"/>
      <c r="N759" s="11"/>
      <c r="O759" s="11"/>
      <c r="P759" s="263"/>
      <c r="Q759" s="263"/>
      <c r="R759" s="264"/>
      <c r="S759" s="264"/>
      <c r="T759" s="264"/>
      <c r="U759" s="11"/>
      <c r="V759" s="11"/>
      <c r="W759" s="11"/>
      <c r="X759" s="11"/>
      <c r="Y759" s="11"/>
      <c r="Z759" s="11"/>
      <c r="AA759" s="11"/>
      <c r="AB759" s="265"/>
      <c r="AC759" s="11"/>
      <c r="AD759" s="11"/>
      <c r="AE759" s="11"/>
      <c r="AF759" s="11"/>
      <c r="AG759" s="266"/>
      <c r="AH759" s="267"/>
      <c r="AI759" s="267"/>
    </row>
    <row r="760" spans="1:35" ht="13">
      <c r="A760" s="11"/>
      <c r="B760" s="11"/>
      <c r="C760" s="11"/>
      <c r="D760" s="11"/>
      <c r="E760" s="11"/>
      <c r="F760" s="270"/>
      <c r="G760" s="11"/>
      <c r="H760" s="11"/>
      <c r="I760" s="11"/>
      <c r="J760" s="11"/>
      <c r="K760" s="11"/>
      <c r="L760" s="11"/>
      <c r="M760" s="11"/>
      <c r="N760" s="11"/>
      <c r="O760" s="11"/>
      <c r="P760" s="263"/>
      <c r="Q760" s="263"/>
      <c r="R760" s="264"/>
      <c r="S760" s="264"/>
      <c r="T760" s="264"/>
      <c r="U760" s="11"/>
      <c r="V760" s="11"/>
      <c r="W760" s="11"/>
      <c r="X760" s="11"/>
      <c r="Y760" s="11"/>
      <c r="Z760" s="11"/>
      <c r="AA760" s="11"/>
      <c r="AB760" s="265"/>
      <c r="AC760" s="11"/>
      <c r="AD760" s="11"/>
      <c r="AE760" s="11"/>
      <c r="AF760" s="11"/>
      <c r="AG760" s="266"/>
      <c r="AH760" s="267"/>
      <c r="AI760" s="267"/>
    </row>
    <row r="761" spans="1:35" ht="13">
      <c r="A761" s="11"/>
      <c r="B761" s="11"/>
      <c r="C761" s="11"/>
      <c r="D761" s="11"/>
      <c r="E761" s="11"/>
      <c r="F761" s="270"/>
      <c r="G761" s="11"/>
      <c r="H761" s="11"/>
      <c r="I761" s="11"/>
      <c r="J761" s="11"/>
      <c r="K761" s="11"/>
      <c r="L761" s="11"/>
      <c r="M761" s="11"/>
      <c r="N761" s="11"/>
      <c r="O761" s="11"/>
      <c r="P761" s="263"/>
      <c r="Q761" s="263"/>
      <c r="R761" s="264"/>
      <c r="S761" s="264"/>
      <c r="T761" s="264"/>
      <c r="U761" s="11"/>
      <c r="V761" s="11"/>
      <c r="W761" s="11"/>
      <c r="X761" s="11"/>
      <c r="Y761" s="11"/>
      <c r="Z761" s="11"/>
      <c r="AA761" s="11"/>
      <c r="AB761" s="265"/>
      <c r="AC761" s="11"/>
      <c r="AD761" s="11"/>
      <c r="AE761" s="11"/>
      <c r="AF761" s="11"/>
      <c r="AG761" s="266"/>
      <c r="AH761" s="267"/>
      <c r="AI761" s="267"/>
    </row>
    <row r="762" spans="1:35" ht="13">
      <c r="A762" s="11"/>
      <c r="B762" s="11"/>
      <c r="C762" s="11"/>
      <c r="D762" s="11"/>
      <c r="E762" s="11"/>
      <c r="F762" s="270"/>
      <c r="G762" s="11"/>
      <c r="H762" s="11"/>
      <c r="I762" s="11"/>
      <c r="J762" s="11"/>
      <c r="K762" s="11"/>
      <c r="L762" s="11"/>
      <c r="M762" s="11"/>
      <c r="N762" s="11"/>
      <c r="O762" s="11"/>
      <c r="P762" s="263"/>
      <c r="Q762" s="263"/>
      <c r="R762" s="264"/>
      <c r="S762" s="264"/>
      <c r="T762" s="264"/>
      <c r="U762" s="11"/>
      <c r="V762" s="11"/>
      <c r="W762" s="11"/>
      <c r="X762" s="11"/>
      <c r="Y762" s="11"/>
      <c r="Z762" s="11"/>
      <c r="AA762" s="11"/>
      <c r="AB762" s="265"/>
      <c r="AC762" s="11"/>
      <c r="AD762" s="11"/>
      <c r="AE762" s="11"/>
      <c r="AF762" s="11"/>
      <c r="AG762" s="266"/>
      <c r="AH762" s="267"/>
      <c r="AI762" s="267"/>
    </row>
    <row r="763" spans="1:35" ht="13">
      <c r="A763" s="11"/>
      <c r="B763" s="11"/>
      <c r="C763" s="11"/>
      <c r="D763" s="11"/>
      <c r="E763" s="11"/>
      <c r="F763" s="270"/>
      <c r="G763" s="11"/>
      <c r="H763" s="11"/>
      <c r="I763" s="11"/>
      <c r="J763" s="11"/>
      <c r="K763" s="11"/>
      <c r="L763" s="11"/>
      <c r="M763" s="11"/>
      <c r="N763" s="11"/>
      <c r="O763" s="11"/>
      <c r="P763" s="263"/>
      <c r="Q763" s="263"/>
      <c r="R763" s="264"/>
      <c r="S763" s="264"/>
      <c r="T763" s="264"/>
      <c r="U763" s="11"/>
      <c r="V763" s="11"/>
      <c r="W763" s="11"/>
      <c r="X763" s="11"/>
      <c r="Y763" s="11"/>
      <c r="Z763" s="11"/>
      <c r="AA763" s="11"/>
      <c r="AB763" s="265"/>
      <c r="AC763" s="11"/>
      <c r="AD763" s="11"/>
      <c r="AE763" s="11"/>
      <c r="AF763" s="11"/>
      <c r="AG763" s="266"/>
      <c r="AH763" s="267"/>
      <c r="AI763" s="267"/>
    </row>
    <row r="764" spans="1:35" ht="13">
      <c r="A764" s="11"/>
      <c r="B764" s="11"/>
      <c r="C764" s="11"/>
      <c r="D764" s="11"/>
      <c r="E764" s="11"/>
      <c r="F764" s="270"/>
      <c r="G764" s="11"/>
      <c r="H764" s="11"/>
      <c r="I764" s="11"/>
      <c r="J764" s="11"/>
      <c r="K764" s="11"/>
      <c r="L764" s="11"/>
      <c r="M764" s="11"/>
      <c r="N764" s="11"/>
      <c r="O764" s="11"/>
      <c r="P764" s="263"/>
      <c r="Q764" s="263"/>
      <c r="R764" s="264"/>
      <c r="S764" s="264"/>
      <c r="T764" s="264"/>
      <c r="U764" s="11"/>
      <c r="V764" s="11"/>
      <c r="W764" s="11"/>
      <c r="X764" s="11"/>
      <c r="Y764" s="11"/>
      <c r="Z764" s="11"/>
      <c r="AA764" s="11"/>
      <c r="AB764" s="265"/>
      <c r="AC764" s="11"/>
      <c r="AD764" s="11"/>
      <c r="AE764" s="11"/>
      <c r="AF764" s="11"/>
      <c r="AG764" s="266"/>
      <c r="AH764" s="267"/>
      <c r="AI764" s="267"/>
    </row>
    <row r="765" spans="1:35" ht="13">
      <c r="A765" s="11"/>
      <c r="B765" s="11"/>
      <c r="C765" s="11"/>
      <c r="D765" s="11"/>
      <c r="E765" s="11"/>
      <c r="F765" s="270"/>
      <c r="G765" s="11"/>
      <c r="H765" s="11"/>
      <c r="I765" s="11"/>
      <c r="J765" s="11"/>
      <c r="K765" s="11"/>
      <c r="L765" s="11"/>
      <c r="M765" s="11"/>
      <c r="N765" s="11"/>
      <c r="O765" s="11"/>
      <c r="P765" s="263"/>
      <c r="Q765" s="263"/>
      <c r="R765" s="264"/>
      <c r="S765" s="264"/>
      <c r="T765" s="264"/>
      <c r="U765" s="11"/>
      <c r="V765" s="11"/>
      <c r="W765" s="11"/>
      <c r="X765" s="11"/>
      <c r="Y765" s="11"/>
      <c r="Z765" s="11"/>
      <c r="AA765" s="11"/>
      <c r="AB765" s="265"/>
      <c r="AC765" s="11"/>
      <c r="AD765" s="11"/>
      <c r="AE765" s="11"/>
      <c r="AF765" s="11"/>
      <c r="AG765" s="266"/>
      <c r="AH765" s="267"/>
      <c r="AI765" s="267"/>
    </row>
    <row r="766" spans="1:35" ht="13">
      <c r="A766" s="11"/>
      <c r="B766" s="11"/>
      <c r="C766" s="11"/>
      <c r="D766" s="11"/>
      <c r="E766" s="11"/>
      <c r="F766" s="270"/>
      <c r="G766" s="11"/>
      <c r="H766" s="11"/>
      <c r="I766" s="11"/>
      <c r="J766" s="11"/>
      <c r="K766" s="11"/>
      <c r="L766" s="11"/>
      <c r="M766" s="11"/>
      <c r="N766" s="11"/>
      <c r="O766" s="11"/>
      <c r="P766" s="263"/>
      <c r="Q766" s="263"/>
      <c r="R766" s="264"/>
      <c r="S766" s="264"/>
      <c r="T766" s="264"/>
      <c r="U766" s="11"/>
      <c r="V766" s="11"/>
      <c r="W766" s="11"/>
      <c r="X766" s="11"/>
      <c r="Y766" s="11"/>
      <c r="Z766" s="11"/>
      <c r="AA766" s="11"/>
      <c r="AB766" s="265"/>
      <c r="AC766" s="11"/>
      <c r="AD766" s="11"/>
      <c r="AE766" s="11"/>
      <c r="AF766" s="11"/>
      <c r="AG766" s="266"/>
      <c r="AH766" s="267"/>
      <c r="AI766" s="267"/>
    </row>
    <row r="767" spans="1:35" ht="13">
      <c r="A767" s="11"/>
      <c r="B767" s="11"/>
      <c r="C767" s="11"/>
      <c r="D767" s="11"/>
      <c r="E767" s="11"/>
      <c r="F767" s="270"/>
      <c r="G767" s="11"/>
      <c r="H767" s="11"/>
      <c r="I767" s="11"/>
      <c r="J767" s="11"/>
      <c r="K767" s="11"/>
      <c r="L767" s="11"/>
      <c r="M767" s="11"/>
      <c r="N767" s="11"/>
      <c r="O767" s="11"/>
      <c r="P767" s="263"/>
      <c r="Q767" s="263"/>
      <c r="R767" s="264"/>
      <c r="S767" s="264"/>
      <c r="T767" s="264"/>
      <c r="U767" s="11"/>
      <c r="V767" s="11"/>
      <c r="W767" s="11"/>
      <c r="X767" s="11"/>
      <c r="Y767" s="11"/>
      <c r="Z767" s="11"/>
      <c r="AA767" s="11"/>
      <c r="AB767" s="265"/>
      <c r="AC767" s="11"/>
      <c r="AD767" s="11"/>
      <c r="AE767" s="11"/>
      <c r="AF767" s="11"/>
      <c r="AG767" s="266"/>
      <c r="AH767" s="267"/>
      <c r="AI767" s="267"/>
    </row>
    <row r="768" spans="1:35" ht="13">
      <c r="A768" s="11"/>
      <c r="B768" s="11"/>
      <c r="C768" s="11"/>
      <c r="D768" s="11"/>
      <c r="E768" s="11"/>
      <c r="F768" s="270"/>
      <c r="G768" s="11"/>
      <c r="H768" s="11"/>
      <c r="I768" s="11"/>
      <c r="J768" s="11"/>
      <c r="K768" s="11"/>
      <c r="L768" s="11"/>
      <c r="M768" s="11"/>
      <c r="N768" s="11"/>
      <c r="O768" s="11"/>
      <c r="P768" s="263"/>
      <c r="Q768" s="263"/>
      <c r="R768" s="264"/>
      <c r="S768" s="264"/>
      <c r="T768" s="264"/>
      <c r="U768" s="11"/>
      <c r="V768" s="11"/>
      <c r="W768" s="11"/>
      <c r="X768" s="11"/>
      <c r="Y768" s="11"/>
      <c r="Z768" s="11"/>
      <c r="AA768" s="11"/>
      <c r="AB768" s="265"/>
      <c r="AC768" s="11"/>
      <c r="AD768" s="11"/>
      <c r="AE768" s="11"/>
      <c r="AF768" s="11"/>
      <c r="AG768" s="266"/>
      <c r="AH768" s="267"/>
      <c r="AI768" s="267"/>
    </row>
    <row r="769" spans="1:35" ht="13">
      <c r="A769" s="11"/>
      <c r="B769" s="11"/>
      <c r="C769" s="11"/>
      <c r="D769" s="11"/>
      <c r="E769" s="11"/>
      <c r="F769" s="270"/>
      <c r="G769" s="11"/>
      <c r="H769" s="11"/>
      <c r="I769" s="11"/>
      <c r="J769" s="11"/>
      <c r="K769" s="11"/>
      <c r="L769" s="11"/>
      <c r="M769" s="11"/>
      <c r="N769" s="11"/>
      <c r="O769" s="11"/>
      <c r="P769" s="263"/>
      <c r="Q769" s="263"/>
      <c r="R769" s="264"/>
      <c r="S769" s="264"/>
      <c r="T769" s="264"/>
      <c r="U769" s="11"/>
      <c r="V769" s="11"/>
      <c r="W769" s="11"/>
      <c r="X769" s="11"/>
      <c r="Y769" s="11"/>
      <c r="Z769" s="11"/>
      <c r="AA769" s="11"/>
      <c r="AB769" s="265"/>
      <c r="AC769" s="11"/>
      <c r="AD769" s="11"/>
      <c r="AE769" s="11"/>
      <c r="AF769" s="11"/>
      <c r="AG769" s="266"/>
      <c r="AH769" s="267"/>
      <c r="AI769" s="267"/>
    </row>
    <row r="770" spans="1:35" ht="13">
      <c r="A770" s="11"/>
      <c r="B770" s="11"/>
      <c r="C770" s="11"/>
      <c r="D770" s="11"/>
      <c r="E770" s="11"/>
      <c r="F770" s="270"/>
      <c r="G770" s="11"/>
      <c r="H770" s="11"/>
      <c r="I770" s="11"/>
      <c r="J770" s="11"/>
      <c r="K770" s="11"/>
      <c r="L770" s="11"/>
      <c r="M770" s="11"/>
      <c r="N770" s="11"/>
      <c r="O770" s="11"/>
      <c r="P770" s="263"/>
      <c r="Q770" s="263"/>
      <c r="R770" s="264"/>
      <c r="S770" s="264"/>
      <c r="T770" s="264"/>
      <c r="U770" s="11"/>
      <c r="V770" s="11"/>
      <c r="W770" s="11"/>
      <c r="X770" s="11"/>
      <c r="Y770" s="11"/>
      <c r="Z770" s="11"/>
      <c r="AA770" s="11"/>
      <c r="AB770" s="265"/>
      <c r="AC770" s="11"/>
      <c r="AD770" s="11"/>
      <c r="AE770" s="11"/>
      <c r="AF770" s="11"/>
      <c r="AG770" s="266"/>
      <c r="AH770" s="267"/>
      <c r="AI770" s="267"/>
    </row>
    <row r="771" spans="1:35" ht="13">
      <c r="A771" s="11"/>
      <c r="B771" s="11"/>
      <c r="C771" s="11"/>
      <c r="D771" s="11"/>
      <c r="E771" s="11"/>
      <c r="F771" s="270"/>
      <c r="G771" s="11"/>
      <c r="H771" s="11"/>
      <c r="I771" s="11"/>
      <c r="J771" s="11"/>
      <c r="K771" s="11"/>
      <c r="L771" s="11"/>
      <c r="M771" s="11"/>
      <c r="N771" s="11"/>
      <c r="O771" s="11"/>
      <c r="P771" s="263"/>
      <c r="Q771" s="263"/>
      <c r="R771" s="264"/>
      <c r="S771" s="264"/>
      <c r="T771" s="264"/>
      <c r="U771" s="11"/>
      <c r="V771" s="11"/>
      <c r="W771" s="11"/>
      <c r="X771" s="11"/>
      <c r="Y771" s="11"/>
      <c r="Z771" s="11"/>
      <c r="AA771" s="11"/>
      <c r="AB771" s="265"/>
      <c r="AC771" s="11"/>
      <c r="AD771" s="11"/>
      <c r="AE771" s="11"/>
      <c r="AF771" s="11"/>
      <c r="AG771" s="266"/>
      <c r="AH771" s="267"/>
      <c r="AI771" s="267"/>
    </row>
    <row r="772" spans="1:35" ht="13">
      <c r="A772" s="11"/>
      <c r="B772" s="11"/>
      <c r="C772" s="11"/>
      <c r="D772" s="11"/>
      <c r="E772" s="11"/>
      <c r="F772" s="270"/>
      <c r="G772" s="11"/>
      <c r="H772" s="11"/>
      <c r="I772" s="11"/>
      <c r="J772" s="11"/>
      <c r="K772" s="11"/>
      <c r="L772" s="11"/>
      <c r="M772" s="11"/>
      <c r="N772" s="11"/>
      <c r="O772" s="11"/>
      <c r="P772" s="263"/>
      <c r="Q772" s="263"/>
      <c r="R772" s="264"/>
      <c r="S772" s="264"/>
      <c r="T772" s="264"/>
      <c r="U772" s="11"/>
      <c r="V772" s="11"/>
      <c r="W772" s="11"/>
      <c r="X772" s="11"/>
      <c r="Y772" s="11"/>
      <c r="Z772" s="11"/>
      <c r="AA772" s="11"/>
      <c r="AB772" s="265"/>
      <c r="AC772" s="11"/>
      <c r="AD772" s="11"/>
      <c r="AE772" s="11"/>
      <c r="AF772" s="11"/>
      <c r="AG772" s="266"/>
      <c r="AH772" s="267"/>
      <c r="AI772" s="267"/>
    </row>
    <row r="773" spans="1:35" ht="13">
      <c r="A773" s="11"/>
      <c r="B773" s="11"/>
      <c r="C773" s="11"/>
      <c r="D773" s="11"/>
      <c r="E773" s="11"/>
      <c r="F773" s="270"/>
      <c r="G773" s="11"/>
      <c r="H773" s="11"/>
      <c r="I773" s="11"/>
      <c r="J773" s="11"/>
      <c r="K773" s="11"/>
      <c r="L773" s="11"/>
      <c r="M773" s="11"/>
      <c r="N773" s="11"/>
      <c r="O773" s="11"/>
      <c r="P773" s="263"/>
      <c r="Q773" s="263"/>
      <c r="R773" s="264"/>
      <c r="S773" s="264"/>
      <c r="T773" s="264"/>
      <c r="U773" s="11"/>
      <c r="V773" s="11"/>
      <c r="W773" s="11"/>
      <c r="X773" s="11"/>
      <c r="Y773" s="11"/>
      <c r="Z773" s="11"/>
      <c r="AA773" s="11"/>
      <c r="AB773" s="265"/>
      <c r="AC773" s="11"/>
      <c r="AD773" s="11"/>
      <c r="AE773" s="11"/>
      <c r="AF773" s="11"/>
      <c r="AG773" s="266"/>
      <c r="AH773" s="267"/>
      <c r="AI773" s="267"/>
    </row>
    <row r="774" spans="1:35" ht="13">
      <c r="A774" s="11"/>
      <c r="B774" s="11"/>
      <c r="C774" s="11"/>
      <c r="D774" s="11"/>
      <c r="E774" s="11"/>
      <c r="F774" s="270"/>
      <c r="G774" s="11"/>
      <c r="H774" s="11"/>
      <c r="I774" s="11"/>
      <c r="J774" s="11"/>
      <c r="K774" s="11"/>
      <c r="L774" s="11"/>
      <c r="M774" s="11"/>
      <c r="N774" s="11"/>
      <c r="O774" s="11"/>
      <c r="P774" s="263"/>
      <c r="Q774" s="263"/>
      <c r="R774" s="264"/>
      <c r="S774" s="264"/>
      <c r="T774" s="264"/>
      <c r="U774" s="11"/>
      <c r="V774" s="11"/>
      <c r="W774" s="11"/>
      <c r="X774" s="11"/>
      <c r="Y774" s="11"/>
      <c r="Z774" s="11"/>
      <c r="AA774" s="11"/>
      <c r="AB774" s="265"/>
      <c r="AC774" s="11"/>
      <c r="AD774" s="11"/>
      <c r="AE774" s="11"/>
      <c r="AF774" s="11"/>
      <c r="AG774" s="266"/>
      <c r="AH774" s="267"/>
      <c r="AI774" s="267"/>
    </row>
    <row r="775" spans="1:35" ht="13">
      <c r="A775" s="11"/>
      <c r="B775" s="11"/>
      <c r="C775" s="11"/>
      <c r="D775" s="11"/>
      <c r="E775" s="11"/>
      <c r="F775" s="270"/>
      <c r="G775" s="11"/>
      <c r="H775" s="11"/>
      <c r="I775" s="11"/>
      <c r="J775" s="11"/>
      <c r="K775" s="11"/>
      <c r="L775" s="11"/>
      <c r="M775" s="11"/>
      <c r="N775" s="11"/>
      <c r="O775" s="11"/>
      <c r="P775" s="263"/>
      <c r="Q775" s="263"/>
      <c r="R775" s="264"/>
      <c r="S775" s="264"/>
      <c r="T775" s="264"/>
      <c r="U775" s="11"/>
      <c r="V775" s="11"/>
      <c r="W775" s="11"/>
      <c r="X775" s="11"/>
      <c r="Y775" s="11"/>
      <c r="Z775" s="11"/>
      <c r="AA775" s="11"/>
      <c r="AB775" s="265"/>
      <c r="AC775" s="11"/>
      <c r="AD775" s="11"/>
      <c r="AE775" s="11"/>
      <c r="AF775" s="11"/>
      <c r="AG775" s="266"/>
      <c r="AH775" s="267"/>
      <c r="AI775" s="267"/>
    </row>
    <row r="776" spans="1:35" ht="13">
      <c r="A776" s="11"/>
      <c r="B776" s="11"/>
      <c r="C776" s="11"/>
      <c r="D776" s="11"/>
      <c r="E776" s="11"/>
      <c r="F776" s="270"/>
      <c r="G776" s="11"/>
      <c r="H776" s="11"/>
      <c r="I776" s="11"/>
      <c r="J776" s="11"/>
      <c r="K776" s="11"/>
      <c r="L776" s="11"/>
      <c r="M776" s="11"/>
      <c r="N776" s="11"/>
      <c r="O776" s="11"/>
      <c r="P776" s="263"/>
      <c r="Q776" s="263"/>
      <c r="R776" s="264"/>
      <c r="S776" s="264"/>
      <c r="T776" s="264"/>
      <c r="U776" s="11"/>
      <c r="V776" s="11"/>
      <c r="W776" s="11"/>
      <c r="X776" s="11"/>
      <c r="Y776" s="11"/>
      <c r="Z776" s="11"/>
      <c r="AA776" s="11"/>
      <c r="AB776" s="265"/>
      <c r="AC776" s="11"/>
      <c r="AD776" s="11"/>
      <c r="AE776" s="11"/>
      <c r="AF776" s="11"/>
      <c r="AG776" s="266"/>
      <c r="AH776" s="267"/>
      <c r="AI776" s="267"/>
    </row>
    <row r="777" spans="1:35" ht="13">
      <c r="A777" s="11"/>
      <c r="B777" s="11"/>
      <c r="C777" s="11"/>
      <c r="D777" s="11"/>
      <c r="E777" s="11"/>
      <c r="F777" s="270"/>
      <c r="G777" s="11"/>
      <c r="H777" s="11"/>
      <c r="I777" s="11"/>
      <c r="J777" s="11"/>
      <c r="K777" s="11"/>
      <c r="L777" s="11"/>
      <c r="M777" s="11"/>
      <c r="N777" s="11"/>
      <c r="O777" s="11"/>
      <c r="P777" s="263"/>
      <c r="Q777" s="263"/>
      <c r="R777" s="264"/>
      <c r="S777" s="264"/>
      <c r="T777" s="264"/>
      <c r="U777" s="11"/>
      <c r="V777" s="11"/>
      <c r="W777" s="11"/>
      <c r="X777" s="11"/>
      <c r="Y777" s="11"/>
      <c r="Z777" s="11"/>
      <c r="AA777" s="11"/>
      <c r="AB777" s="265"/>
      <c r="AC777" s="11"/>
      <c r="AD777" s="11"/>
      <c r="AE777" s="11"/>
      <c r="AF777" s="11"/>
      <c r="AG777" s="266"/>
      <c r="AH777" s="267"/>
      <c r="AI777" s="267"/>
    </row>
    <row r="778" spans="1:35" ht="13">
      <c r="A778" s="11"/>
      <c r="B778" s="11"/>
      <c r="C778" s="11"/>
      <c r="D778" s="11"/>
      <c r="E778" s="11"/>
      <c r="F778" s="270"/>
      <c r="G778" s="11"/>
      <c r="H778" s="11"/>
      <c r="I778" s="11"/>
      <c r="J778" s="11"/>
      <c r="K778" s="11"/>
      <c r="L778" s="11"/>
      <c r="M778" s="11"/>
      <c r="N778" s="11"/>
      <c r="O778" s="11"/>
      <c r="P778" s="263"/>
      <c r="Q778" s="263"/>
      <c r="R778" s="264"/>
      <c r="S778" s="264"/>
      <c r="T778" s="264"/>
      <c r="U778" s="11"/>
      <c r="V778" s="11"/>
      <c r="W778" s="11"/>
      <c r="X778" s="11"/>
      <c r="Y778" s="11"/>
      <c r="Z778" s="11"/>
      <c r="AA778" s="11"/>
      <c r="AB778" s="265"/>
      <c r="AC778" s="11"/>
      <c r="AD778" s="11"/>
      <c r="AE778" s="11"/>
      <c r="AF778" s="11"/>
      <c r="AG778" s="266"/>
      <c r="AH778" s="267"/>
      <c r="AI778" s="267"/>
    </row>
    <row r="779" spans="1:35" ht="13">
      <c r="A779" s="11"/>
      <c r="B779" s="11"/>
      <c r="C779" s="11"/>
      <c r="D779" s="11"/>
      <c r="E779" s="11"/>
      <c r="F779" s="270"/>
      <c r="G779" s="11"/>
      <c r="H779" s="11"/>
      <c r="I779" s="11"/>
      <c r="J779" s="11"/>
      <c r="K779" s="11"/>
      <c r="L779" s="11"/>
      <c r="M779" s="11"/>
      <c r="N779" s="11"/>
      <c r="O779" s="11"/>
      <c r="P779" s="263"/>
      <c r="Q779" s="263"/>
      <c r="R779" s="264"/>
      <c r="S779" s="264"/>
      <c r="T779" s="264"/>
      <c r="U779" s="11"/>
      <c r="V779" s="11"/>
      <c r="W779" s="11"/>
      <c r="X779" s="11"/>
      <c r="Y779" s="11"/>
      <c r="Z779" s="11"/>
      <c r="AA779" s="11"/>
      <c r="AB779" s="265"/>
      <c r="AC779" s="11"/>
      <c r="AD779" s="11"/>
      <c r="AE779" s="11"/>
      <c r="AF779" s="11"/>
      <c r="AG779" s="266"/>
      <c r="AH779" s="267"/>
      <c r="AI779" s="267"/>
    </row>
    <row r="780" spans="1:35" ht="13">
      <c r="A780" s="11"/>
      <c r="B780" s="11"/>
      <c r="C780" s="11"/>
      <c r="D780" s="11"/>
      <c r="E780" s="11"/>
      <c r="F780" s="270"/>
      <c r="G780" s="11"/>
      <c r="H780" s="11"/>
      <c r="I780" s="11"/>
      <c r="J780" s="11"/>
      <c r="K780" s="11"/>
      <c r="L780" s="11"/>
      <c r="M780" s="11"/>
      <c r="N780" s="11"/>
      <c r="O780" s="11"/>
      <c r="P780" s="263"/>
      <c r="Q780" s="263"/>
      <c r="R780" s="264"/>
      <c r="S780" s="264"/>
      <c r="T780" s="264"/>
      <c r="U780" s="11"/>
      <c r="V780" s="11"/>
      <c r="W780" s="11"/>
      <c r="X780" s="11"/>
      <c r="Y780" s="11"/>
      <c r="Z780" s="11"/>
      <c r="AA780" s="11"/>
      <c r="AB780" s="265"/>
      <c r="AC780" s="11"/>
      <c r="AD780" s="11"/>
      <c r="AE780" s="11"/>
      <c r="AF780" s="11"/>
      <c r="AG780" s="266"/>
      <c r="AH780" s="267"/>
      <c r="AI780" s="267"/>
    </row>
    <row r="781" spans="1:35" ht="13">
      <c r="A781" s="11"/>
      <c r="B781" s="11"/>
      <c r="C781" s="11"/>
      <c r="D781" s="11"/>
      <c r="E781" s="11"/>
      <c r="F781" s="270"/>
      <c r="G781" s="11"/>
      <c r="H781" s="11"/>
      <c r="I781" s="11"/>
      <c r="J781" s="11"/>
      <c r="K781" s="11"/>
      <c r="L781" s="11"/>
      <c r="M781" s="11"/>
      <c r="N781" s="11"/>
      <c r="O781" s="11"/>
      <c r="P781" s="263"/>
      <c r="Q781" s="263"/>
      <c r="R781" s="264"/>
      <c r="S781" s="264"/>
      <c r="T781" s="264"/>
      <c r="U781" s="11"/>
      <c r="V781" s="11"/>
      <c r="W781" s="11"/>
      <c r="X781" s="11"/>
      <c r="Y781" s="11"/>
      <c r="Z781" s="11"/>
      <c r="AA781" s="11"/>
      <c r="AB781" s="265"/>
      <c r="AC781" s="11"/>
      <c r="AD781" s="11"/>
      <c r="AE781" s="11"/>
      <c r="AF781" s="11"/>
      <c r="AG781" s="266"/>
      <c r="AH781" s="267"/>
      <c r="AI781" s="267"/>
    </row>
    <row r="782" spans="1:35" ht="13">
      <c r="A782" s="11"/>
      <c r="B782" s="11"/>
      <c r="C782" s="11"/>
      <c r="D782" s="11"/>
      <c r="E782" s="11"/>
      <c r="F782" s="270"/>
      <c r="G782" s="11"/>
      <c r="H782" s="11"/>
      <c r="I782" s="11"/>
      <c r="J782" s="11"/>
      <c r="K782" s="11"/>
      <c r="L782" s="11"/>
      <c r="M782" s="11"/>
      <c r="N782" s="11"/>
      <c r="O782" s="11"/>
      <c r="P782" s="263"/>
      <c r="Q782" s="263"/>
      <c r="R782" s="264"/>
      <c r="S782" s="264"/>
      <c r="T782" s="264"/>
      <c r="U782" s="11"/>
      <c r="V782" s="11"/>
      <c r="W782" s="11"/>
      <c r="X782" s="11"/>
      <c r="Y782" s="11"/>
      <c r="Z782" s="11"/>
      <c r="AA782" s="11"/>
      <c r="AB782" s="265"/>
      <c r="AC782" s="11"/>
      <c r="AD782" s="11"/>
      <c r="AE782" s="11"/>
      <c r="AF782" s="11"/>
      <c r="AG782" s="266"/>
      <c r="AH782" s="267"/>
      <c r="AI782" s="267"/>
    </row>
    <row r="783" spans="1:35" ht="13">
      <c r="A783" s="11"/>
      <c r="B783" s="11"/>
      <c r="C783" s="11"/>
      <c r="D783" s="11"/>
      <c r="E783" s="11"/>
      <c r="F783" s="270"/>
      <c r="G783" s="11"/>
      <c r="H783" s="11"/>
      <c r="I783" s="11"/>
      <c r="J783" s="11"/>
      <c r="K783" s="11"/>
      <c r="L783" s="11"/>
      <c r="M783" s="11"/>
      <c r="N783" s="11"/>
      <c r="O783" s="11"/>
      <c r="P783" s="263"/>
      <c r="Q783" s="263"/>
      <c r="R783" s="264"/>
      <c r="S783" s="264"/>
      <c r="T783" s="264"/>
      <c r="U783" s="11"/>
      <c r="V783" s="11"/>
      <c r="W783" s="11"/>
      <c r="X783" s="11"/>
      <c r="Y783" s="11"/>
      <c r="Z783" s="11"/>
      <c r="AA783" s="11"/>
      <c r="AB783" s="265"/>
      <c r="AC783" s="11"/>
      <c r="AD783" s="11"/>
      <c r="AE783" s="11"/>
      <c r="AF783" s="11"/>
      <c r="AG783" s="266"/>
      <c r="AH783" s="267"/>
      <c r="AI783" s="267"/>
    </row>
    <row r="784" spans="1:35" ht="13">
      <c r="A784" s="11"/>
      <c r="B784" s="11"/>
      <c r="C784" s="11"/>
      <c r="D784" s="11"/>
      <c r="E784" s="11"/>
      <c r="F784" s="270"/>
      <c r="G784" s="11"/>
      <c r="H784" s="11"/>
      <c r="I784" s="11"/>
      <c r="J784" s="11"/>
      <c r="K784" s="11"/>
      <c r="L784" s="11"/>
      <c r="M784" s="11"/>
      <c r="N784" s="11"/>
      <c r="O784" s="11"/>
      <c r="P784" s="263"/>
      <c r="Q784" s="263"/>
      <c r="R784" s="264"/>
      <c r="S784" s="264"/>
      <c r="T784" s="264"/>
      <c r="U784" s="11"/>
      <c r="V784" s="11"/>
      <c r="W784" s="11"/>
      <c r="X784" s="11"/>
      <c r="Y784" s="11"/>
      <c r="Z784" s="11"/>
      <c r="AA784" s="11"/>
      <c r="AB784" s="265"/>
      <c r="AC784" s="11"/>
      <c r="AD784" s="11"/>
      <c r="AE784" s="11"/>
      <c r="AF784" s="11"/>
      <c r="AG784" s="266"/>
      <c r="AH784" s="267"/>
      <c r="AI784" s="267"/>
    </row>
    <row r="785" spans="1:35" ht="13">
      <c r="A785" s="11"/>
      <c r="B785" s="11"/>
      <c r="C785" s="11"/>
      <c r="D785" s="11"/>
      <c r="E785" s="11"/>
      <c r="F785" s="270"/>
      <c r="G785" s="11"/>
      <c r="H785" s="11"/>
      <c r="I785" s="11"/>
      <c r="J785" s="11"/>
      <c r="K785" s="11"/>
      <c r="L785" s="11"/>
      <c r="M785" s="11"/>
      <c r="N785" s="11"/>
      <c r="O785" s="11"/>
      <c r="P785" s="263"/>
      <c r="Q785" s="263"/>
      <c r="R785" s="264"/>
      <c r="S785" s="264"/>
      <c r="T785" s="264"/>
      <c r="U785" s="11"/>
      <c r="V785" s="11"/>
      <c r="W785" s="11"/>
      <c r="X785" s="11"/>
      <c r="Y785" s="11"/>
      <c r="Z785" s="11"/>
      <c r="AA785" s="11"/>
      <c r="AB785" s="265"/>
      <c r="AC785" s="11"/>
      <c r="AD785" s="11"/>
      <c r="AE785" s="11"/>
      <c r="AF785" s="11"/>
      <c r="AG785" s="266"/>
      <c r="AH785" s="267"/>
      <c r="AI785" s="267"/>
    </row>
    <row r="786" spans="1:35" ht="13">
      <c r="A786" s="11"/>
      <c r="B786" s="11"/>
      <c r="C786" s="11"/>
      <c r="D786" s="11"/>
      <c r="E786" s="11"/>
      <c r="F786" s="270"/>
      <c r="G786" s="11"/>
      <c r="H786" s="11"/>
      <c r="I786" s="11"/>
      <c r="J786" s="11"/>
      <c r="K786" s="11"/>
      <c r="L786" s="11"/>
      <c r="M786" s="11"/>
      <c r="N786" s="11"/>
      <c r="O786" s="11"/>
      <c r="P786" s="263"/>
      <c r="Q786" s="263"/>
      <c r="R786" s="264"/>
      <c r="S786" s="264"/>
      <c r="T786" s="264"/>
      <c r="U786" s="11"/>
      <c r="V786" s="11"/>
      <c r="W786" s="11"/>
      <c r="X786" s="11"/>
      <c r="Y786" s="11"/>
      <c r="Z786" s="11"/>
      <c r="AA786" s="11"/>
      <c r="AB786" s="265"/>
      <c r="AC786" s="11"/>
      <c r="AD786" s="11"/>
      <c r="AE786" s="11"/>
      <c r="AF786" s="11"/>
      <c r="AG786" s="266"/>
      <c r="AH786" s="267"/>
      <c r="AI786" s="267"/>
    </row>
    <row r="787" spans="1:35" ht="13">
      <c r="A787" s="11"/>
      <c r="B787" s="11"/>
      <c r="C787" s="11"/>
      <c r="D787" s="11"/>
      <c r="E787" s="11"/>
      <c r="F787" s="270"/>
      <c r="G787" s="11"/>
      <c r="H787" s="11"/>
      <c r="I787" s="11"/>
      <c r="J787" s="11"/>
      <c r="K787" s="11"/>
      <c r="L787" s="11"/>
      <c r="M787" s="11"/>
      <c r="N787" s="11"/>
      <c r="O787" s="11"/>
      <c r="P787" s="263"/>
      <c r="Q787" s="263"/>
      <c r="R787" s="264"/>
      <c r="S787" s="264"/>
      <c r="T787" s="264"/>
      <c r="U787" s="11"/>
      <c r="V787" s="11"/>
      <c r="W787" s="11"/>
      <c r="X787" s="11"/>
      <c r="Y787" s="11"/>
      <c r="Z787" s="11"/>
      <c r="AA787" s="11"/>
      <c r="AB787" s="265"/>
      <c r="AC787" s="11"/>
      <c r="AD787" s="11"/>
      <c r="AE787" s="11"/>
      <c r="AF787" s="11"/>
      <c r="AG787" s="266"/>
      <c r="AH787" s="267"/>
      <c r="AI787" s="267"/>
    </row>
    <row r="788" spans="1:35" ht="13">
      <c r="A788" s="11"/>
      <c r="B788" s="11"/>
      <c r="C788" s="11"/>
      <c r="D788" s="11"/>
      <c r="E788" s="11"/>
      <c r="F788" s="270"/>
      <c r="G788" s="11"/>
      <c r="H788" s="11"/>
      <c r="I788" s="11"/>
      <c r="J788" s="11"/>
      <c r="K788" s="11"/>
      <c r="L788" s="11"/>
      <c r="M788" s="11"/>
      <c r="N788" s="11"/>
      <c r="O788" s="11"/>
      <c r="P788" s="263"/>
      <c r="Q788" s="263"/>
      <c r="R788" s="264"/>
      <c r="S788" s="264"/>
      <c r="T788" s="264"/>
      <c r="U788" s="11"/>
      <c r="V788" s="11"/>
      <c r="W788" s="11"/>
      <c r="X788" s="11"/>
      <c r="Y788" s="11"/>
      <c r="Z788" s="11"/>
      <c r="AA788" s="11"/>
      <c r="AB788" s="265"/>
      <c r="AC788" s="11"/>
      <c r="AD788" s="11"/>
      <c r="AE788" s="11"/>
      <c r="AF788" s="11"/>
      <c r="AG788" s="266"/>
      <c r="AH788" s="267"/>
      <c r="AI788" s="267"/>
    </row>
    <row r="789" spans="1:35" ht="13">
      <c r="A789" s="11"/>
      <c r="B789" s="11"/>
      <c r="C789" s="11"/>
      <c r="D789" s="11"/>
      <c r="E789" s="11"/>
      <c r="F789" s="270"/>
      <c r="G789" s="11"/>
      <c r="H789" s="11"/>
      <c r="I789" s="11"/>
      <c r="J789" s="11"/>
      <c r="K789" s="11"/>
      <c r="L789" s="11"/>
      <c r="M789" s="11"/>
      <c r="N789" s="11"/>
      <c r="O789" s="11"/>
      <c r="P789" s="263"/>
      <c r="Q789" s="263"/>
      <c r="R789" s="264"/>
      <c r="S789" s="264"/>
      <c r="T789" s="264"/>
      <c r="U789" s="11"/>
      <c r="V789" s="11"/>
      <c r="W789" s="11"/>
      <c r="X789" s="11"/>
      <c r="Y789" s="11"/>
      <c r="Z789" s="11"/>
      <c r="AA789" s="11"/>
      <c r="AB789" s="265"/>
      <c r="AC789" s="11"/>
      <c r="AD789" s="11"/>
      <c r="AE789" s="11"/>
      <c r="AF789" s="11"/>
      <c r="AG789" s="266"/>
      <c r="AH789" s="267"/>
      <c r="AI789" s="267"/>
    </row>
    <row r="790" spans="1:35" ht="13">
      <c r="A790" s="11"/>
      <c r="B790" s="11"/>
      <c r="C790" s="11"/>
      <c r="D790" s="11"/>
      <c r="E790" s="11"/>
      <c r="F790" s="270"/>
      <c r="G790" s="11"/>
      <c r="H790" s="11"/>
      <c r="I790" s="11"/>
      <c r="J790" s="11"/>
      <c r="K790" s="11"/>
      <c r="L790" s="11"/>
      <c r="M790" s="11"/>
      <c r="N790" s="11"/>
      <c r="O790" s="11"/>
      <c r="P790" s="263"/>
      <c r="Q790" s="263"/>
      <c r="R790" s="264"/>
      <c r="S790" s="264"/>
      <c r="T790" s="264"/>
      <c r="U790" s="11"/>
      <c r="V790" s="11"/>
      <c r="W790" s="11"/>
      <c r="X790" s="11"/>
      <c r="Y790" s="11"/>
      <c r="Z790" s="11"/>
      <c r="AA790" s="11"/>
      <c r="AB790" s="265"/>
      <c r="AC790" s="11"/>
      <c r="AD790" s="11"/>
      <c r="AE790" s="11"/>
      <c r="AF790" s="11"/>
      <c r="AG790" s="266"/>
      <c r="AH790" s="267"/>
      <c r="AI790" s="267"/>
    </row>
    <row r="791" spans="1:35" ht="13">
      <c r="A791" s="11"/>
      <c r="B791" s="11"/>
      <c r="C791" s="11"/>
      <c r="D791" s="11"/>
      <c r="E791" s="11"/>
      <c r="F791" s="270"/>
      <c r="G791" s="11"/>
      <c r="H791" s="11"/>
      <c r="I791" s="11"/>
      <c r="J791" s="11"/>
      <c r="K791" s="11"/>
      <c r="L791" s="11"/>
      <c r="M791" s="11"/>
      <c r="N791" s="11"/>
      <c r="O791" s="11"/>
      <c r="P791" s="263"/>
      <c r="Q791" s="263"/>
      <c r="R791" s="264"/>
      <c r="S791" s="264"/>
      <c r="T791" s="264"/>
      <c r="U791" s="11"/>
      <c r="V791" s="11"/>
      <c r="W791" s="11"/>
      <c r="X791" s="11"/>
      <c r="Y791" s="11"/>
      <c r="Z791" s="11"/>
      <c r="AA791" s="11"/>
      <c r="AB791" s="265"/>
      <c r="AC791" s="11"/>
      <c r="AD791" s="11"/>
      <c r="AE791" s="11"/>
      <c r="AF791" s="11"/>
      <c r="AG791" s="266"/>
      <c r="AH791" s="267"/>
      <c r="AI791" s="267"/>
    </row>
    <row r="792" spans="1:35" ht="13">
      <c r="A792" s="11"/>
      <c r="B792" s="11"/>
      <c r="C792" s="11"/>
      <c r="D792" s="11"/>
      <c r="E792" s="11"/>
      <c r="F792" s="270"/>
      <c r="G792" s="11"/>
      <c r="H792" s="11"/>
      <c r="I792" s="11"/>
      <c r="J792" s="11"/>
      <c r="K792" s="11"/>
      <c r="L792" s="11"/>
      <c r="M792" s="11"/>
      <c r="N792" s="11"/>
      <c r="O792" s="11"/>
      <c r="P792" s="263"/>
      <c r="Q792" s="263"/>
      <c r="R792" s="264"/>
      <c r="S792" s="264"/>
      <c r="T792" s="264"/>
      <c r="U792" s="11"/>
      <c r="V792" s="11"/>
      <c r="W792" s="11"/>
      <c r="X792" s="11"/>
      <c r="Y792" s="11"/>
      <c r="Z792" s="11"/>
      <c r="AA792" s="11"/>
      <c r="AB792" s="265"/>
      <c r="AC792" s="11"/>
      <c r="AD792" s="11"/>
      <c r="AE792" s="11"/>
      <c r="AF792" s="11"/>
      <c r="AG792" s="266"/>
      <c r="AH792" s="267"/>
      <c r="AI792" s="267"/>
    </row>
    <row r="793" spans="1:35" ht="13">
      <c r="A793" s="11"/>
      <c r="B793" s="11"/>
      <c r="C793" s="11"/>
      <c r="D793" s="11"/>
      <c r="E793" s="11"/>
      <c r="F793" s="270"/>
      <c r="G793" s="11"/>
      <c r="H793" s="11"/>
      <c r="I793" s="11"/>
      <c r="J793" s="11"/>
      <c r="K793" s="11"/>
      <c r="L793" s="11"/>
      <c r="M793" s="11"/>
      <c r="N793" s="11"/>
      <c r="O793" s="11"/>
      <c r="P793" s="263"/>
      <c r="Q793" s="263"/>
      <c r="R793" s="264"/>
      <c r="S793" s="264"/>
      <c r="T793" s="264"/>
      <c r="U793" s="11"/>
      <c r="V793" s="11"/>
      <c r="W793" s="11"/>
      <c r="X793" s="11"/>
      <c r="Y793" s="11"/>
      <c r="Z793" s="11"/>
      <c r="AA793" s="11"/>
      <c r="AB793" s="265"/>
      <c r="AC793" s="11"/>
      <c r="AD793" s="11"/>
      <c r="AE793" s="11"/>
      <c r="AF793" s="11"/>
      <c r="AG793" s="266"/>
      <c r="AH793" s="267"/>
      <c r="AI793" s="267"/>
    </row>
    <row r="794" spans="1:35" ht="13">
      <c r="A794" s="11"/>
      <c r="B794" s="11"/>
      <c r="C794" s="11"/>
      <c r="D794" s="11"/>
      <c r="E794" s="11"/>
      <c r="F794" s="270"/>
      <c r="G794" s="11"/>
      <c r="H794" s="11"/>
      <c r="I794" s="11"/>
      <c r="J794" s="11"/>
      <c r="K794" s="11"/>
      <c r="L794" s="11"/>
      <c r="M794" s="11"/>
      <c r="N794" s="11"/>
      <c r="O794" s="11"/>
      <c r="P794" s="263"/>
      <c r="Q794" s="263"/>
      <c r="R794" s="264"/>
      <c r="S794" s="264"/>
      <c r="T794" s="264"/>
      <c r="U794" s="11"/>
      <c r="V794" s="11"/>
      <c r="W794" s="11"/>
      <c r="X794" s="11"/>
      <c r="Y794" s="11"/>
      <c r="Z794" s="11"/>
      <c r="AA794" s="11"/>
      <c r="AB794" s="265"/>
      <c r="AC794" s="11"/>
      <c r="AD794" s="11"/>
      <c r="AE794" s="11"/>
      <c r="AF794" s="11"/>
      <c r="AG794" s="266"/>
      <c r="AH794" s="267"/>
      <c r="AI794" s="267"/>
    </row>
    <row r="795" spans="1:35" ht="13">
      <c r="A795" s="11"/>
      <c r="B795" s="11"/>
      <c r="C795" s="11"/>
      <c r="D795" s="11"/>
      <c r="E795" s="11"/>
      <c r="F795" s="270"/>
      <c r="G795" s="11"/>
      <c r="H795" s="11"/>
      <c r="I795" s="11"/>
      <c r="J795" s="11"/>
      <c r="K795" s="11"/>
      <c r="L795" s="11"/>
      <c r="M795" s="11"/>
      <c r="N795" s="11"/>
      <c r="O795" s="11"/>
      <c r="P795" s="263"/>
      <c r="Q795" s="263"/>
      <c r="R795" s="264"/>
      <c r="S795" s="264"/>
      <c r="T795" s="264"/>
      <c r="U795" s="11"/>
      <c r="V795" s="11"/>
      <c r="W795" s="11"/>
      <c r="X795" s="11"/>
      <c r="Y795" s="11"/>
      <c r="Z795" s="11"/>
      <c r="AA795" s="11"/>
      <c r="AB795" s="265"/>
      <c r="AC795" s="11"/>
      <c r="AD795" s="11"/>
      <c r="AE795" s="11"/>
      <c r="AF795" s="11"/>
      <c r="AG795" s="266"/>
      <c r="AH795" s="267"/>
      <c r="AI795" s="267"/>
    </row>
    <row r="796" spans="1:35" ht="13">
      <c r="A796" s="11"/>
      <c r="B796" s="11"/>
      <c r="C796" s="11"/>
      <c r="D796" s="11"/>
      <c r="E796" s="11"/>
      <c r="F796" s="270"/>
      <c r="G796" s="11"/>
      <c r="H796" s="11"/>
      <c r="I796" s="11"/>
      <c r="J796" s="11"/>
      <c r="K796" s="11"/>
      <c r="L796" s="11"/>
      <c r="M796" s="11"/>
      <c r="N796" s="11"/>
      <c r="O796" s="11"/>
      <c r="P796" s="263"/>
      <c r="Q796" s="263"/>
      <c r="R796" s="264"/>
      <c r="S796" s="264"/>
      <c r="T796" s="264"/>
      <c r="U796" s="11"/>
      <c r="V796" s="11"/>
      <c r="W796" s="11"/>
      <c r="X796" s="11"/>
      <c r="Y796" s="11"/>
      <c r="Z796" s="11"/>
      <c r="AA796" s="11"/>
      <c r="AB796" s="265"/>
      <c r="AC796" s="11"/>
      <c r="AD796" s="11"/>
      <c r="AE796" s="11"/>
      <c r="AF796" s="11"/>
      <c r="AG796" s="266"/>
      <c r="AH796" s="267"/>
      <c r="AI796" s="267"/>
    </row>
    <row r="797" spans="1:35" ht="13">
      <c r="A797" s="11"/>
      <c r="B797" s="11"/>
      <c r="C797" s="11"/>
      <c r="D797" s="11"/>
      <c r="E797" s="11"/>
      <c r="F797" s="270"/>
      <c r="G797" s="11"/>
      <c r="H797" s="11"/>
      <c r="I797" s="11"/>
      <c r="J797" s="11"/>
      <c r="K797" s="11"/>
      <c r="L797" s="11"/>
      <c r="M797" s="11"/>
      <c r="N797" s="11"/>
      <c r="O797" s="11"/>
      <c r="P797" s="263"/>
      <c r="Q797" s="263"/>
      <c r="R797" s="264"/>
      <c r="S797" s="264"/>
      <c r="T797" s="264"/>
      <c r="U797" s="11"/>
      <c r="V797" s="11"/>
      <c r="W797" s="11"/>
      <c r="X797" s="11"/>
      <c r="Y797" s="11"/>
      <c r="Z797" s="11"/>
      <c r="AA797" s="11"/>
      <c r="AB797" s="265"/>
      <c r="AC797" s="11"/>
      <c r="AD797" s="11"/>
      <c r="AE797" s="11"/>
      <c r="AF797" s="11"/>
      <c r="AG797" s="266"/>
      <c r="AH797" s="267"/>
      <c r="AI797" s="267"/>
    </row>
    <row r="798" spans="1:35" ht="13">
      <c r="A798" s="11"/>
      <c r="B798" s="11"/>
      <c r="C798" s="11"/>
      <c r="D798" s="11"/>
      <c r="E798" s="11"/>
      <c r="F798" s="270"/>
      <c r="G798" s="11"/>
      <c r="H798" s="11"/>
      <c r="I798" s="11"/>
      <c r="J798" s="11"/>
      <c r="K798" s="11"/>
      <c r="L798" s="11"/>
      <c r="M798" s="11"/>
      <c r="N798" s="11"/>
      <c r="O798" s="11"/>
      <c r="P798" s="263"/>
      <c r="Q798" s="263"/>
      <c r="R798" s="264"/>
      <c r="S798" s="264"/>
      <c r="T798" s="264"/>
      <c r="U798" s="11"/>
      <c r="V798" s="11"/>
      <c r="W798" s="11"/>
      <c r="X798" s="11"/>
      <c r="Y798" s="11"/>
      <c r="Z798" s="11"/>
      <c r="AA798" s="11"/>
      <c r="AB798" s="265"/>
      <c r="AC798" s="11"/>
      <c r="AD798" s="11"/>
      <c r="AE798" s="11"/>
      <c r="AF798" s="11"/>
      <c r="AG798" s="266"/>
      <c r="AH798" s="267"/>
      <c r="AI798" s="267"/>
    </row>
    <row r="799" spans="1:35" ht="13">
      <c r="A799" s="11"/>
      <c r="B799" s="11"/>
      <c r="C799" s="11"/>
      <c r="D799" s="11"/>
      <c r="E799" s="11"/>
      <c r="F799" s="270"/>
      <c r="G799" s="11"/>
      <c r="H799" s="11"/>
      <c r="I799" s="11"/>
      <c r="J799" s="11"/>
      <c r="K799" s="11"/>
      <c r="L799" s="11"/>
      <c r="M799" s="11"/>
      <c r="N799" s="11"/>
      <c r="O799" s="11"/>
      <c r="P799" s="263"/>
      <c r="Q799" s="263"/>
      <c r="R799" s="264"/>
      <c r="S799" s="264"/>
      <c r="T799" s="264"/>
      <c r="U799" s="11"/>
      <c r="V799" s="11"/>
      <c r="W799" s="11"/>
      <c r="X799" s="11"/>
      <c r="Y799" s="11"/>
      <c r="Z799" s="11"/>
      <c r="AA799" s="11"/>
      <c r="AB799" s="265"/>
      <c r="AC799" s="11"/>
      <c r="AD799" s="11"/>
      <c r="AE799" s="11"/>
      <c r="AF799" s="11"/>
      <c r="AG799" s="266"/>
      <c r="AH799" s="267"/>
      <c r="AI799" s="267"/>
    </row>
    <row r="800" spans="1:35" ht="13">
      <c r="A800" s="11"/>
      <c r="B800" s="11"/>
      <c r="C800" s="11"/>
      <c r="D800" s="11"/>
      <c r="E800" s="11"/>
      <c r="F800" s="270"/>
      <c r="G800" s="11"/>
      <c r="H800" s="11"/>
      <c r="I800" s="11"/>
      <c r="J800" s="11"/>
      <c r="K800" s="11"/>
      <c r="L800" s="11"/>
      <c r="M800" s="11"/>
      <c r="N800" s="11"/>
      <c r="O800" s="11"/>
      <c r="P800" s="263"/>
      <c r="Q800" s="263"/>
      <c r="R800" s="264"/>
      <c r="S800" s="264"/>
      <c r="T800" s="264"/>
      <c r="U800" s="11"/>
      <c r="V800" s="11"/>
      <c r="W800" s="11"/>
      <c r="X800" s="11"/>
      <c r="Y800" s="11"/>
      <c r="Z800" s="11"/>
      <c r="AA800" s="11"/>
      <c r="AB800" s="265"/>
      <c r="AC800" s="11"/>
      <c r="AD800" s="11"/>
      <c r="AE800" s="11"/>
      <c r="AF800" s="11"/>
      <c r="AG800" s="266"/>
      <c r="AH800" s="267"/>
      <c r="AI800" s="267"/>
    </row>
    <row r="801" spans="1:35" ht="13">
      <c r="A801" s="11"/>
      <c r="B801" s="11"/>
      <c r="C801" s="11"/>
      <c r="D801" s="11"/>
      <c r="E801" s="11"/>
      <c r="F801" s="270"/>
      <c r="G801" s="11"/>
      <c r="H801" s="11"/>
      <c r="I801" s="11"/>
      <c r="J801" s="11"/>
      <c r="K801" s="11"/>
      <c r="L801" s="11"/>
      <c r="M801" s="11"/>
      <c r="N801" s="11"/>
      <c r="O801" s="11"/>
      <c r="P801" s="263"/>
      <c r="Q801" s="263"/>
      <c r="R801" s="264"/>
      <c r="S801" s="264"/>
      <c r="T801" s="264"/>
      <c r="U801" s="11"/>
      <c r="V801" s="11"/>
      <c r="W801" s="11"/>
      <c r="X801" s="11"/>
      <c r="Y801" s="11"/>
      <c r="Z801" s="11"/>
      <c r="AA801" s="11"/>
      <c r="AB801" s="265"/>
      <c r="AC801" s="11"/>
      <c r="AD801" s="11"/>
      <c r="AE801" s="11"/>
      <c r="AF801" s="11"/>
      <c r="AG801" s="266"/>
      <c r="AH801" s="267"/>
      <c r="AI801" s="267"/>
    </row>
    <row r="802" spans="1:35" ht="13">
      <c r="A802" s="11"/>
      <c r="B802" s="11"/>
      <c r="C802" s="11"/>
      <c r="D802" s="11"/>
      <c r="E802" s="11"/>
      <c r="F802" s="270"/>
      <c r="G802" s="11"/>
      <c r="H802" s="11"/>
      <c r="I802" s="11"/>
      <c r="J802" s="11"/>
      <c r="K802" s="11"/>
      <c r="L802" s="11"/>
      <c r="M802" s="11"/>
      <c r="N802" s="11"/>
      <c r="O802" s="11"/>
      <c r="P802" s="263"/>
      <c r="Q802" s="263"/>
      <c r="R802" s="264"/>
      <c r="S802" s="264"/>
      <c r="T802" s="264"/>
      <c r="U802" s="11"/>
      <c r="V802" s="11"/>
      <c r="W802" s="11"/>
      <c r="X802" s="11"/>
      <c r="Y802" s="11"/>
      <c r="Z802" s="11"/>
      <c r="AA802" s="11"/>
      <c r="AB802" s="265"/>
      <c r="AC802" s="11"/>
      <c r="AD802" s="11"/>
      <c r="AE802" s="11"/>
      <c r="AF802" s="11"/>
      <c r="AG802" s="266"/>
      <c r="AH802" s="267"/>
      <c r="AI802" s="267"/>
    </row>
    <row r="803" spans="1:35" ht="13">
      <c r="A803" s="11"/>
      <c r="B803" s="11"/>
      <c r="C803" s="11"/>
      <c r="D803" s="11"/>
      <c r="E803" s="11"/>
      <c r="F803" s="270"/>
      <c r="G803" s="11"/>
      <c r="H803" s="11"/>
      <c r="I803" s="11"/>
      <c r="J803" s="11"/>
      <c r="K803" s="11"/>
      <c r="L803" s="11"/>
      <c r="M803" s="11"/>
      <c r="N803" s="11"/>
      <c r="O803" s="11"/>
      <c r="P803" s="263"/>
      <c r="Q803" s="263"/>
      <c r="R803" s="264"/>
      <c r="S803" s="264"/>
      <c r="T803" s="264"/>
      <c r="U803" s="11"/>
      <c r="V803" s="11"/>
      <c r="W803" s="11"/>
      <c r="X803" s="11"/>
      <c r="Y803" s="11"/>
      <c r="Z803" s="11"/>
      <c r="AA803" s="11"/>
      <c r="AB803" s="265"/>
      <c r="AC803" s="11"/>
      <c r="AD803" s="11"/>
      <c r="AE803" s="11"/>
      <c r="AF803" s="11"/>
      <c r="AG803" s="266"/>
      <c r="AH803" s="267"/>
      <c r="AI803" s="267"/>
    </row>
    <row r="804" spans="1:35" ht="13">
      <c r="A804" s="11"/>
      <c r="B804" s="11"/>
      <c r="C804" s="11"/>
      <c r="D804" s="11"/>
      <c r="E804" s="11"/>
      <c r="F804" s="270"/>
      <c r="G804" s="11"/>
      <c r="H804" s="11"/>
      <c r="I804" s="11"/>
      <c r="J804" s="11"/>
      <c r="K804" s="11"/>
      <c r="L804" s="11"/>
      <c r="M804" s="11"/>
      <c r="N804" s="11"/>
      <c r="O804" s="11"/>
      <c r="P804" s="263"/>
      <c r="Q804" s="263"/>
      <c r="R804" s="264"/>
      <c r="S804" s="264"/>
      <c r="T804" s="264"/>
      <c r="U804" s="11"/>
      <c r="V804" s="11"/>
      <c r="W804" s="11"/>
      <c r="X804" s="11"/>
      <c r="Y804" s="11"/>
      <c r="Z804" s="11"/>
      <c r="AA804" s="11"/>
      <c r="AB804" s="265"/>
      <c r="AC804" s="11"/>
      <c r="AD804" s="11"/>
      <c r="AE804" s="11"/>
      <c r="AF804" s="11"/>
      <c r="AG804" s="266"/>
      <c r="AH804" s="267"/>
      <c r="AI804" s="267"/>
    </row>
    <row r="805" spans="1:35" ht="13">
      <c r="A805" s="11"/>
      <c r="B805" s="11"/>
      <c r="C805" s="11"/>
      <c r="D805" s="11"/>
      <c r="E805" s="11"/>
      <c r="F805" s="270"/>
      <c r="G805" s="11"/>
      <c r="H805" s="11"/>
      <c r="I805" s="11"/>
      <c r="J805" s="11"/>
      <c r="K805" s="11"/>
      <c r="L805" s="11"/>
      <c r="M805" s="11"/>
      <c r="N805" s="11"/>
      <c r="O805" s="11"/>
      <c r="P805" s="263"/>
      <c r="Q805" s="263"/>
      <c r="R805" s="264"/>
      <c r="S805" s="264"/>
      <c r="T805" s="264"/>
      <c r="U805" s="11"/>
      <c r="V805" s="11"/>
      <c r="W805" s="11"/>
      <c r="X805" s="11"/>
      <c r="Y805" s="11"/>
      <c r="Z805" s="11"/>
      <c r="AA805" s="11"/>
      <c r="AB805" s="265"/>
      <c r="AC805" s="11"/>
      <c r="AD805" s="11"/>
      <c r="AE805" s="11"/>
      <c r="AF805" s="11"/>
      <c r="AG805" s="266"/>
      <c r="AH805" s="267"/>
      <c r="AI805" s="267"/>
    </row>
    <row r="806" spans="1:35" ht="13">
      <c r="A806" s="11"/>
      <c r="B806" s="11"/>
      <c r="C806" s="11"/>
      <c r="D806" s="11"/>
      <c r="E806" s="11"/>
      <c r="F806" s="270"/>
      <c r="G806" s="11"/>
      <c r="H806" s="11"/>
      <c r="I806" s="11"/>
      <c r="J806" s="11"/>
      <c r="K806" s="11"/>
      <c r="L806" s="11"/>
      <c r="M806" s="11"/>
      <c r="N806" s="11"/>
      <c r="O806" s="11"/>
      <c r="P806" s="263"/>
      <c r="Q806" s="263"/>
      <c r="R806" s="264"/>
      <c r="S806" s="264"/>
      <c r="T806" s="264"/>
      <c r="U806" s="11"/>
      <c r="V806" s="11"/>
      <c r="W806" s="11"/>
      <c r="X806" s="11"/>
      <c r="Y806" s="11"/>
      <c r="Z806" s="11"/>
      <c r="AA806" s="11"/>
      <c r="AB806" s="265"/>
      <c r="AC806" s="11"/>
      <c r="AD806" s="11"/>
      <c r="AE806" s="11"/>
      <c r="AF806" s="11"/>
      <c r="AG806" s="266"/>
      <c r="AH806" s="267"/>
      <c r="AI806" s="267"/>
    </row>
    <row r="807" spans="1:35" ht="13">
      <c r="A807" s="11"/>
      <c r="B807" s="11"/>
      <c r="C807" s="11"/>
      <c r="D807" s="11"/>
      <c r="E807" s="11"/>
      <c r="F807" s="270"/>
      <c r="G807" s="11"/>
      <c r="H807" s="11"/>
      <c r="I807" s="11"/>
      <c r="J807" s="11"/>
      <c r="K807" s="11"/>
      <c r="L807" s="11"/>
      <c r="M807" s="11"/>
      <c r="N807" s="11"/>
      <c r="O807" s="11"/>
      <c r="P807" s="263"/>
      <c r="Q807" s="263"/>
      <c r="R807" s="264"/>
      <c r="S807" s="264"/>
      <c r="T807" s="264"/>
      <c r="U807" s="11"/>
      <c r="V807" s="11"/>
      <c r="W807" s="11"/>
      <c r="X807" s="11"/>
      <c r="Y807" s="11"/>
      <c r="Z807" s="11"/>
      <c r="AA807" s="11"/>
      <c r="AB807" s="265"/>
      <c r="AC807" s="11"/>
      <c r="AD807" s="11"/>
      <c r="AE807" s="11"/>
      <c r="AF807" s="11"/>
      <c r="AG807" s="266"/>
      <c r="AH807" s="267"/>
      <c r="AI807" s="267"/>
    </row>
    <row r="808" spans="1:35" ht="13">
      <c r="A808" s="11"/>
      <c r="B808" s="11"/>
      <c r="C808" s="11"/>
      <c r="D808" s="11"/>
      <c r="E808" s="11"/>
      <c r="F808" s="270"/>
      <c r="G808" s="11"/>
      <c r="H808" s="11"/>
      <c r="I808" s="11"/>
      <c r="J808" s="11"/>
      <c r="K808" s="11"/>
      <c r="L808" s="11"/>
      <c r="M808" s="11"/>
      <c r="N808" s="11"/>
      <c r="O808" s="11"/>
      <c r="P808" s="263"/>
      <c r="Q808" s="263"/>
      <c r="R808" s="264"/>
      <c r="S808" s="264"/>
      <c r="T808" s="264"/>
      <c r="U808" s="11"/>
      <c r="V808" s="11"/>
      <c r="W808" s="11"/>
      <c r="X808" s="11"/>
      <c r="Y808" s="11"/>
      <c r="Z808" s="11"/>
      <c r="AA808" s="11"/>
      <c r="AB808" s="265"/>
      <c r="AC808" s="11"/>
      <c r="AD808" s="11"/>
      <c r="AE808" s="11"/>
      <c r="AF808" s="11"/>
      <c r="AG808" s="266"/>
      <c r="AH808" s="267"/>
      <c r="AI808" s="267"/>
    </row>
    <row r="809" spans="1:35" ht="13">
      <c r="A809" s="11"/>
      <c r="B809" s="11"/>
      <c r="C809" s="11"/>
      <c r="D809" s="11"/>
      <c r="E809" s="11"/>
      <c r="F809" s="270"/>
      <c r="G809" s="11"/>
      <c r="H809" s="11"/>
      <c r="I809" s="11"/>
      <c r="J809" s="11"/>
      <c r="K809" s="11"/>
      <c r="L809" s="11"/>
      <c r="M809" s="11"/>
      <c r="N809" s="11"/>
      <c r="O809" s="11"/>
      <c r="P809" s="263"/>
      <c r="Q809" s="263"/>
      <c r="R809" s="264"/>
      <c r="S809" s="264"/>
      <c r="T809" s="264"/>
      <c r="U809" s="11"/>
      <c r="V809" s="11"/>
      <c r="W809" s="11"/>
      <c r="X809" s="11"/>
      <c r="Y809" s="11"/>
      <c r="Z809" s="11"/>
      <c r="AA809" s="11"/>
      <c r="AB809" s="265"/>
      <c r="AC809" s="11"/>
      <c r="AD809" s="11"/>
      <c r="AE809" s="11"/>
      <c r="AF809" s="11"/>
      <c r="AG809" s="266"/>
      <c r="AH809" s="267"/>
      <c r="AI809" s="267"/>
    </row>
    <row r="810" spans="1:35" ht="13">
      <c r="A810" s="11"/>
      <c r="B810" s="11"/>
      <c r="C810" s="11"/>
      <c r="D810" s="11"/>
      <c r="E810" s="11"/>
      <c r="F810" s="270"/>
      <c r="G810" s="11"/>
      <c r="H810" s="11"/>
      <c r="I810" s="11"/>
      <c r="J810" s="11"/>
      <c r="K810" s="11"/>
      <c r="L810" s="11"/>
      <c r="M810" s="11"/>
      <c r="N810" s="11"/>
      <c r="O810" s="11"/>
      <c r="P810" s="263"/>
      <c r="Q810" s="263"/>
      <c r="R810" s="264"/>
      <c r="S810" s="264"/>
      <c r="T810" s="264"/>
      <c r="U810" s="11"/>
      <c r="V810" s="11"/>
      <c r="W810" s="11"/>
      <c r="X810" s="11"/>
      <c r="Y810" s="11"/>
      <c r="Z810" s="11"/>
      <c r="AA810" s="11"/>
      <c r="AB810" s="265"/>
      <c r="AC810" s="11"/>
      <c r="AD810" s="11"/>
      <c r="AE810" s="11"/>
      <c r="AF810" s="11"/>
      <c r="AG810" s="266"/>
      <c r="AH810" s="267"/>
      <c r="AI810" s="267"/>
    </row>
    <row r="811" spans="1:35" ht="13">
      <c r="A811" s="11"/>
      <c r="B811" s="11"/>
      <c r="C811" s="11"/>
      <c r="D811" s="11"/>
      <c r="E811" s="11"/>
      <c r="F811" s="270"/>
      <c r="G811" s="11"/>
      <c r="H811" s="11"/>
      <c r="I811" s="11"/>
      <c r="J811" s="11"/>
      <c r="K811" s="11"/>
      <c r="L811" s="11"/>
      <c r="M811" s="11"/>
      <c r="N811" s="11"/>
      <c r="O811" s="11"/>
      <c r="P811" s="263"/>
      <c r="Q811" s="263"/>
      <c r="R811" s="264"/>
      <c r="S811" s="264"/>
      <c r="T811" s="264"/>
      <c r="U811" s="11"/>
      <c r="V811" s="11"/>
      <c r="W811" s="11"/>
      <c r="X811" s="11"/>
      <c r="Y811" s="11"/>
      <c r="Z811" s="11"/>
      <c r="AA811" s="11"/>
      <c r="AB811" s="265"/>
      <c r="AC811" s="11"/>
      <c r="AD811" s="11"/>
      <c r="AE811" s="11"/>
      <c r="AF811" s="11"/>
      <c r="AG811" s="266"/>
      <c r="AH811" s="267"/>
      <c r="AI811" s="267"/>
    </row>
    <row r="812" spans="1:35" ht="13">
      <c r="A812" s="11"/>
      <c r="B812" s="11"/>
      <c r="C812" s="11"/>
      <c r="D812" s="11"/>
      <c r="E812" s="11"/>
      <c r="F812" s="270"/>
      <c r="G812" s="11"/>
      <c r="H812" s="11"/>
      <c r="I812" s="11"/>
      <c r="J812" s="11"/>
      <c r="K812" s="11"/>
      <c r="L812" s="11"/>
      <c r="M812" s="11"/>
      <c r="N812" s="11"/>
      <c r="O812" s="11"/>
      <c r="P812" s="263"/>
      <c r="Q812" s="263"/>
      <c r="R812" s="264"/>
      <c r="S812" s="264"/>
      <c r="T812" s="264"/>
      <c r="U812" s="11"/>
      <c r="V812" s="11"/>
      <c r="W812" s="11"/>
      <c r="X812" s="11"/>
      <c r="Y812" s="11"/>
      <c r="Z812" s="11"/>
      <c r="AA812" s="11"/>
      <c r="AB812" s="265"/>
      <c r="AC812" s="11"/>
      <c r="AD812" s="11"/>
      <c r="AE812" s="11"/>
      <c r="AF812" s="11"/>
      <c r="AG812" s="266"/>
      <c r="AH812" s="267"/>
      <c r="AI812" s="267"/>
    </row>
    <row r="813" spans="1:35" ht="13">
      <c r="A813" s="11"/>
      <c r="B813" s="11"/>
      <c r="C813" s="11"/>
      <c r="D813" s="11"/>
      <c r="E813" s="11"/>
      <c r="F813" s="270"/>
      <c r="G813" s="11"/>
      <c r="H813" s="11"/>
      <c r="I813" s="11"/>
      <c r="J813" s="11"/>
      <c r="K813" s="11"/>
      <c r="L813" s="11"/>
      <c r="M813" s="11"/>
      <c r="N813" s="11"/>
      <c r="O813" s="11"/>
      <c r="P813" s="263"/>
      <c r="Q813" s="263"/>
      <c r="R813" s="264"/>
      <c r="S813" s="264"/>
      <c r="T813" s="264"/>
      <c r="U813" s="11"/>
      <c r="V813" s="11"/>
      <c r="W813" s="11"/>
      <c r="X813" s="11"/>
      <c r="Y813" s="11"/>
      <c r="Z813" s="11"/>
      <c r="AA813" s="11"/>
      <c r="AB813" s="265"/>
      <c r="AC813" s="11"/>
      <c r="AD813" s="11"/>
      <c r="AE813" s="11"/>
      <c r="AF813" s="11"/>
      <c r="AG813" s="266"/>
      <c r="AH813" s="267"/>
      <c r="AI813" s="267"/>
    </row>
    <row r="814" spans="1:35" ht="13">
      <c r="A814" s="11"/>
      <c r="B814" s="11"/>
      <c r="C814" s="11"/>
      <c r="D814" s="11"/>
      <c r="E814" s="11"/>
      <c r="F814" s="270"/>
      <c r="G814" s="11"/>
      <c r="H814" s="11"/>
      <c r="I814" s="11"/>
      <c r="J814" s="11"/>
      <c r="K814" s="11"/>
      <c r="L814" s="11"/>
      <c r="M814" s="11"/>
      <c r="N814" s="11"/>
      <c r="O814" s="11"/>
      <c r="P814" s="263"/>
      <c r="Q814" s="263"/>
      <c r="R814" s="264"/>
      <c r="S814" s="264"/>
      <c r="T814" s="264"/>
      <c r="U814" s="11"/>
      <c r="V814" s="11"/>
      <c r="W814" s="11"/>
      <c r="X814" s="11"/>
      <c r="Y814" s="11"/>
      <c r="Z814" s="11"/>
      <c r="AA814" s="11"/>
      <c r="AB814" s="265"/>
      <c r="AC814" s="11"/>
      <c r="AD814" s="11"/>
      <c r="AE814" s="11"/>
      <c r="AF814" s="11"/>
      <c r="AG814" s="266"/>
      <c r="AH814" s="267"/>
      <c r="AI814" s="267"/>
    </row>
    <row r="815" spans="1:35" ht="13">
      <c r="A815" s="11"/>
      <c r="B815" s="11"/>
      <c r="C815" s="11"/>
      <c r="D815" s="11"/>
      <c r="E815" s="11"/>
      <c r="F815" s="270"/>
      <c r="G815" s="11"/>
      <c r="H815" s="11"/>
      <c r="I815" s="11"/>
      <c r="J815" s="11"/>
      <c r="K815" s="11"/>
      <c r="L815" s="11"/>
      <c r="M815" s="11"/>
      <c r="N815" s="11"/>
      <c r="O815" s="11"/>
      <c r="P815" s="263"/>
      <c r="Q815" s="263"/>
      <c r="R815" s="264"/>
      <c r="S815" s="264"/>
      <c r="T815" s="264"/>
      <c r="U815" s="11"/>
      <c r="V815" s="11"/>
      <c r="W815" s="11"/>
      <c r="X815" s="11"/>
      <c r="Y815" s="11"/>
      <c r="Z815" s="11"/>
      <c r="AA815" s="11"/>
      <c r="AB815" s="265"/>
      <c r="AC815" s="11"/>
      <c r="AD815" s="11"/>
      <c r="AE815" s="11"/>
      <c r="AF815" s="11"/>
      <c r="AG815" s="266"/>
      <c r="AH815" s="267"/>
      <c r="AI815" s="267"/>
    </row>
    <row r="816" spans="1:35" ht="13">
      <c r="A816" s="11"/>
      <c r="B816" s="11"/>
      <c r="C816" s="11"/>
      <c r="D816" s="11"/>
      <c r="E816" s="11"/>
      <c r="F816" s="270"/>
      <c r="G816" s="11"/>
      <c r="H816" s="11"/>
      <c r="I816" s="11"/>
      <c r="J816" s="11"/>
      <c r="K816" s="11"/>
      <c r="L816" s="11"/>
      <c r="M816" s="11"/>
      <c r="N816" s="11"/>
      <c r="O816" s="11"/>
      <c r="P816" s="263"/>
      <c r="Q816" s="263"/>
      <c r="R816" s="264"/>
      <c r="S816" s="264"/>
      <c r="T816" s="264"/>
      <c r="U816" s="11"/>
      <c r="V816" s="11"/>
      <c r="W816" s="11"/>
      <c r="X816" s="11"/>
      <c r="Y816" s="11"/>
      <c r="Z816" s="11"/>
      <c r="AA816" s="11"/>
      <c r="AB816" s="265"/>
      <c r="AC816" s="11"/>
      <c r="AD816" s="11"/>
      <c r="AE816" s="11"/>
      <c r="AF816" s="11"/>
      <c r="AG816" s="266"/>
      <c r="AH816" s="267"/>
      <c r="AI816" s="267"/>
    </row>
    <row r="817" spans="1:35" ht="13">
      <c r="A817" s="11"/>
      <c r="B817" s="11"/>
      <c r="C817" s="11"/>
      <c r="D817" s="11"/>
      <c r="E817" s="11"/>
      <c r="F817" s="270"/>
      <c r="G817" s="11"/>
      <c r="H817" s="11"/>
      <c r="I817" s="11"/>
      <c r="J817" s="11"/>
      <c r="K817" s="11"/>
      <c r="L817" s="11"/>
      <c r="M817" s="11"/>
      <c r="N817" s="11"/>
      <c r="O817" s="11"/>
      <c r="P817" s="263"/>
      <c r="Q817" s="263"/>
      <c r="R817" s="264"/>
      <c r="S817" s="264"/>
      <c r="T817" s="264"/>
      <c r="U817" s="11"/>
      <c r="V817" s="11"/>
      <c r="W817" s="11"/>
      <c r="X817" s="11"/>
      <c r="Y817" s="11"/>
      <c r="Z817" s="11"/>
      <c r="AA817" s="11"/>
      <c r="AB817" s="265"/>
      <c r="AC817" s="11"/>
      <c r="AD817" s="11"/>
      <c r="AE817" s="11"/>
      <c r="AF817" s="11"/>
      <c r="AG817" s="266"/>
      <c r="AH817" s="267"/>
      <c r="AI817" s="267"/>
    </row>
    <row r="818" spans="1:35" ht="13">
      <c r="A818" s="11"/>
      <c r="B818" s="11"/>
      <c r="C818" s="11"/>
      <c r="D818" s="11"/>
      <c r="E818" s="11"/>
      <c r="F818" s="270"/>
      <c r="G818" s="11"/>
      <c r="H818" s="11"/>
      <c r="I818" s="11"/>
      <c r="J818" s="11"/>
      <c r="K818" s="11"/>
      <c r="L818" s="11"/>
      <c r="M818" s="11"/>
      <c r="N818" s="11"/>
      <c r="O818" s="11"/>
      <c r="P818" s="263"/>
      <c r="Q818" s="263"/>
      <c r="R818" s="264"/>
      <c r="S818" s="264"/>
      <c r="T818" s="264"/>
      <c r="U818" s="11"/>
      <c r="V818" s="11"/>
      <c r="W818" s="11"/>
      <c r="X818" s="11"/>
      <c r="Y818" s="11"/>
      <c r="Z818" s="11"/>
      <c r="AA818" s="11"/>
      <c r="AB818" s="265"/>
      <c r="AC818" s="11"/>
      <c r="AD818" s="11"/>
      <c r="AE818" s="11"/>
      <c r="AF818" s="11"/>
      <c r="AG818" s="266"/>
      <c r="AH818" s="267"/>
      <c r="AI818" s="267"/>
    </row>
    <row r="819" spans="1:35" ht="13">
      <c r="A819" s="11"/>
      <c r="B819" s="11"/>
      <c r="C819" s="11"/>
      <c r="D819" s="11"/>
      <c r="E819" s="11"/>
      <c r="F819" s="270"/>
      <c r="G819" s="11"/>
      <c r="H819" s="11"/>
      <c r="I819" s="11"/>
      <c r="J819" s="11"/>
      <c r="K819" s="11"/>
      <c r="L819" s="11"/>
      <c r="M819" s="11"/>
      <c r="N819" s="11"/>
      <c r="O819" s="11"/>
      <c r="P819" s="263"/>
      <c r="Q819" s="263"/>
      <c r="R819" s="264"/>
      <c r="S819" s="264"/>
      <c r="T819" s="264"/>
      <c r="U819" s="11"/>
      <c r="V819" s="11"/>
      <c r="W819" s="11"/>
      <c r="X819" s="11"/>
      <c r="Y819" s="11"/>
      <c r="Z819" s="11"/>
      <c r="AA819" s="11"/>
      <c r="AB819" s="265"/>
      <c r="AC819" s="11"/>
      <c r="AD819" s="11"/>
      <c r="AE819" s="11"/>
      <c r="AF819" s="11"/>
      <c r="AG819" s="266"/>
      <c r="AH819" s="267"/>
      <c r="AI819" s="267"/>
    </row>
    <row r="820" spans="1:35" ht="13">
      <c r="A820" s="11"/>
      <c r="B820" s="11"/>
      <c r="C820" s="11"/>
      <c r="D820" s="11"/>
      <c r="E820" s="11"/>
      <c r="F820" s="270"/>
      <c r="G820" s="11"/>
      <c r="H820" s="11"/>
      <c r="I820" s="11"/>
      <c r="J820" s="11"/>
      <c r="K820" s="11"/>
      <c r="L820" s="11"/>
      <c r="M820" s="11"/>
      <c r="N820" s="11"/>
      <c r="O820" s="11"/>
      <c r="P820" s="263"/>
      <c r="Q820" s="263"/>
      <c r="R820" s="264"/>
      <c r="S820" s="264"/>
      <c r="T820" s="264"/>
      <c r="U820" s="11"/>
      <c r="V820" s="11"/>
      <c r="W820" s="11"/>
      <c r="X820" s="11"/>
      <c r="Y820" s="11"/>
      <c r="Z820" s="11"/>
      <c r="AA820" s="11"/>
      <c r="AB820" s="265"/>
      <c r="AC820" s="11"/>
      <c r="AD820" s="11"/>
      <c r="AE820" s="11"/>
      <c r="AF820" s="11"/>
      <c r="AG820" s="266"/>
      <c r="AH820" s="267"/>
      <c r="AI820" s="267"/>
    </row>
    <row r="821" spans="1:35" ht="13">
      <c r="A821" s="11"/>
      <c r="B821" s="11"/>
      <c r="C821" s="11"/>
      <c r="D821" s="11"/>
      <c r="E821" s="11"/>
      <c r="F821" s="270"/>
      <c r="G821" s="11"/>
      <c r="H821" s="11"/>
      <c r="I821" s="11"/>
      <c r="J821" s="11"/>
      <c r="K821" s="11"/>
      <c r="L821" s="11"/>
      <c r="M821" s="11"/>
      <c r="N821" s="11"/>
      <c r="O821" s="11"/>
      <c r="P821" s="263"/>
      <c r="Q821" s="263"/>
      <c r="R821" s="264"/>
      <c r="S821" s="264"/>
      <c r="T821" s="264"/>
      <c r="U821" s="11"/>
      <c r="V821" s="11"/>
      <c r="W821" s="11"/>
      <c r="X821" s="11"/>
      <c r="Y821" s="11"/>
      <c r="Z821" s="11"/>
      <c r="AA821" s="11"/>
      <c r="AB821" s="265"/>
      <c r="AC821" s="11"/>
      <c r="AD821" s="11"/>
      <c r="AE821" s="11"/>
      <c r="AF821" s="11"/>
      <c r="AG821" s="266"/>
      <c r="AH821" s="267"/>
      <c r="AI821" s="267"/>
    </row>
    <row r="822" spans="1:35" ht="13">
      <c r="A822" s="11"/>
      <c r="B822" s="11"/>
      <c r="C822" s="11"/>
      <c r="D822" s="11"/>
      <c r="E822" s="11"/>
      <c r="F822" s="270"/>
      <c r="G822" s="11"/>
      <c r="H822" s="11"/>
      <c r="I822" s="11"/>
      <c r="J822" s="11"/>
      <c r="K822" s="11"/>
      <c r="L822" s="11"/>
      <c r="M822" s="11"/>
      <c r="N822" s="11"/>
      <c r="O822" s="11"/>
      <c r="P822" s="263"/>
      <c r="Q822" s="263"/>
      <c r="R822" s="264"/>
      <c r="S822" s="264"/>
      <c r="T822" s="264"/>
      <c r="U822" s="11"/>
      <c r="V822" s="11"/>
      <c r="W822" s="11"/>
      <c r="X822" s="11"/>
      <c r="Y822" s="11"/>
      <c r="Z822" s="11"/>
      <c r="AA822" s="11"/>
      <c r="AB822" s="265"/>
      <c r="AC822" s="11"/>
      <c r="AD822" s="11"/>
      <c r="AE822" s="11"/>
      <c r="AF822" s="11"/>
      <c r="AG822" s="266"/>
      <c r="AH822" s="267"/>
      <c r="AI822" s="267"/>
    </row>
    <row r="823" spans="1:35" ht="13">
      <c r="A823" s="11"/>
      <c r="B823" s="11"/>
      <c r="C823" s="11"/>
      <c r="D823" s="11"/>
      <c r="E823" s="11"/>
      <c r="F823" s="270"/>
      <c r="G823" s="11"/>
      <c r="H823" s="11"/>
      <c r="I823" s="11"/>
      <c r="J823" s="11"/>
      <c r="K823" s="11"/>
      <c r="L823" s="11"/>
      <c r="M823" s="11"/>
      <c r="N823" s="11"/>
      <c r="O823" s="11"/>
      <c r="P823" s="263"/>
      <c r="Q823" s="263"/>
      <c r="R823" s="264"/>
      <c r="S823" s="264"/>
      <c r="T823" s="264"/>
      <c r="U823" s="11"/>
      <c r="V823" s="11"/>
      <c r="W823" s="11"/>
      <c r="X823" s="11"/>
      <c r="Y823" s="11"/>
      <c r="Z823" s="11"/>
      <c r="AA823" s="11"/>
      <c r="AB823" s="265"/>
      <c r="AC823" s="11"/>
      <c r="AD823" s="11"/>
      <c r="AE823" s="11"/>
      <c r="AF823" s="11"/>
      <c r="AG823" s="266"/>
      <c r="AH823" s="267"/>
      <c r="AI823" s="267"/>
    </row>
    <row r="824" spans="1:35" ht="13">
      <c r="A824" s="11"/>
      <c r="B824" s="11"/>
      <c r="C824" s="11"/>
      <c r="D824" s="11"/>
      <c r="E824" s="11"/>
      <c r="F824" s="270"/>
      <c r="G824" s="11"/>
      <c r="H824" s="11"/>
      <c r="I824" s="11"/>
      <c r="J824" s="11"/>
      <c r="K824" s="11"/>
      <c r="L824" s="11"/>
      <c r="M824" s="11"/>
      <c r="N824" s="11"/>
      <c r="O824" s="11"/>
      <c r="P824" s="263"/>
      <c r="Q824" s="263"/>
      <c r="R824" s="264"/>
      <c r="S824" s="264"/>
      <c r="T824" s="264"/>
      <c r="U824" s="11"/>
      <c r="V824" s="11"/>
      <c r="W824" s="11"/>
      <c r="X824" s="11"/>
      <c r="Y824" s="11"/>
      <c r="Z824" s="11"/>
      <c r="AA824" s="11"/>
      <c r="AB824" s="265"/>
      <c r="AC824" s="11"/>
      <c r="AD824" s="11"/>
      <c r="AE824" s="11"/>
      <c r="AF824" s="11"/>
      <c r="AG824" s="266"/>
      <c r="AH824" s="267"/>
      <c r="AI824" s="267"/>
    </row>
    <row r="825" spans="1:35" ht="13">
      <c r="A825" s="11"/>
      <c r="B825" s="11"/>
      <c r="C825" s="11"/>
      <c r="D825" s="11"/>
      <c r="E825" s="11"/>
      <c r="F825" s="270"/>
      <c r="G825" s="11"/>
      <c r="H825" s="11"/>
      <c r="I825" s="11"/>
      <c r="J825" s="11"/>
      <c r="K825" s="11"/>
      <c r="L825" s="11"/>
      <c r="M825" s="11"/>
      <c r="N825" s="11"/>
      <c r="O825" s="11"/>
      <c r="P825" s="263"/>
      <c r="Q825" s="263"/>
      <c r="R825" s="264"/>
      <c r="S825" s="264"/>
      <c r="T825" s="264"/>
      <c r="U825" s="11"/>
      <c r="V825" s="11"/>
      <c r="W825" s="11"/>
      <c r="X825" s="11"/>
      <c r="Y825" s="11"/>
      <c r="Z825" s="11"/>
      <c r="AA825" s="11"/>
      <c r="AB825" s="265"/>
      <c r="AC825" s="11"/>
      <c r="AD825" s="11"/>
      <c r="AE825" s="11"/>
      <c r="AF825" s="11"/>
      <c r="AG825" s="266"/>
      <c r="AH825" s="267"/>
      <c r="AI825" s="267"/>
    </row>
    <row r="826" spans="1:35" ht="13">
      <c r="A826" s="11"/>
      <c r="B826" s="11"/>
      <c r="C826" s="11"/>
      <c r="D826" s="11"/>
      <c r="E826" s="11"/>
      <c r="F826" s="270"/>
      <c r="G826" s="11"/>
      <c r="H826" s="11"/>
      <c r="I826" s="11"/>
      <c r="J826" s="11"/>
      <c r="K826" s="11"/>
      <c r="L826" s="11"/>
      <c r="M826" s="11"/>
      <c r="N826" s="11"/>
      <c r="O826" s="11"/>
      <c r="P826" s="263"/>
      <c r="Q826" s="263"/>
      <c r="R826" s="264"/>
      <c r="S826" s="264"/>
      <c r="T826" s="264"/>
      <c r="U826" s="11"/>
      <c r="V826" s="11"/>
      <c r="W826" s="11"/>
      <c r="X826" s="11"/>
      <c r="Y826" s="11"/>
      <c r="Z826" s="11"/>
      <c r="AA826" s="11"/>
      <c r="AB826" s="265"/>
      <c r="AC826" s="11"/>
      <c r="AD826" s="11"/>
      <c r="AE826" s="11"/>
      <c r="AF826" s="11"/>
      <c r="AG826" s="266"/>
      <c r="AH826" s="267"/>
      <c r="AI826" s="267"/>
    </row>
    <row r="827" spans="1:35" ht="13">
      <c r="A827" s="11"/>
      <c r="B827" s="11"/>
      <c r="C827" s="11"/>
      <c r="D827" s="11"/>
      <c r="E827" s="11"/>
      <c r="F827" s="270"/>
      <c r="G827" s="11"/>
      <c r="H827" s="11"/>
      <c r="I827" s="11"/>
      <c r="J827" s="11"/>
      <c r="K827" s="11"/>
      <c r="L827" s="11"/>
      <c r="M827" s="11"/>
      <c r="N827" s="11"/>
      <c r="O827" s="11"/>
      <c r="P827" s="263"/>
      <c r="Q827" s="263"/>
      <c r="R827" s="264"/>
      <c r="S827" s="264"/>
      <c r="T827" s="264"/>
      <c r="U827" s="11"/>
      <c r="V827" s="11"/>
      <c r="W827" s="11"/>
      <c r="X827" s="11"/>
      <c r="Y827" s="11"/>
      <c r="Z827" s="11"/>
      <c r="AA827" s="11"/>
      <c r="AB827" s="265"/>
      <c r="AC827" s="11"/>
      <c r="AD827" s="11"/>
      <c r="AE827" s="11"/>
      <c r="AF827" s="11"/>
      <c r="AG827" s="266"/>
      <c r="AH827" s="267"/>
      <c r="AI827" s="267"/>
    </row>
    <row r="828" spans="1:35" ht="13">
      <c r="A828" s="11"/>
      <c r="B828" s="11"/>
      <c r="C828" s="11"/>
      <c r="D828" s="11"/>
      <c r="E828" s="11"/>
      <c r="F828" s="270"/>
      <c r="G828" s="11"/>
      <c r="H828" s="11"/>
      <c r="I828" s="11"/>
      <c r="J828" s="11"/>
      <c r="K828" s="11"/>
      <c r="L828" s="11"/>
      <c r="M828" s="11"/>
      <c r="N828" s="11"/>
      <c r="O828" s="11"/>
      <c r="P828" s="263"/>
      <c r="Q828" s="263"/>
      <c r="R828" s="264"/>
      <c r="S828" s="264"/>
      <c r="T828" s="264"/>
      <c r="U828" s="11"/>
      <c r="V828" s="11"/>
      <c r="W828" s="11"/>
      <c r="X828" s="11"/>
      <c r="Y828" s="11"/>
      <c r="Z828" s="11"/>
      <c r="AA828" s="11"/>
      <c r="AB828" s="265"/>
      <c r="AC828" s="11"/>
      <c r="AD828" s="11"/>
      <c r="AE828" s="11"/>
      <c r="AF828" s="11"/>
      <c r="AG828" s="266"/>
      <c r="AH828" s="267"/>
      <c r="AI828" s="267"/>
    </row>
    <row r="829" spans="1:35" ht="13">
      <c r="A829" s="11"/>
      <c r="B829" s="11"/>
      <c r="C829" s="11"/>
      <c r="D829" s="11"/>
      <c r="E829" s="11"/>
      <c r="F829" s="270"/>
      <c r="G829" s="11"/>
      <c r="H829" s="11"/>
      <c r="I829" s="11"/>
      <c r="J829" s="11"/>
      <c r="K829" s="11"/>
      <c r="L829" s="11"/>
      <c r="M829" s="11"/>
      <c r="N829" s="11"/>
      <c r="O829" s="11"/>
      <c r="P829" s="263"/>
      <c r="Q829" s="263"/>
      <c r="R829" s="264"/>
      <c r="S829" s="264"/>
      <c r="T829" s="264"/>
      <c r="U829" s="11"/>
      <c r="V829" s="11"/>
      <c r="W829" s="11"/>
      <c r="X829" s="11"/>
      <c r="Y829" s="11"/>
      <c r="Z829" s="11"/>
      <c r="AA829" s="11"/>
      <c r="AB829" s="265"/>
      <c r="AC829" s="11"/>
      <c r="AD829" s="11"/>
      <c r="AE829" s="11"/>
      <c r="AF829" s="11"/>
      <c r="AG829" s="266"/>
      <c r="AH829" s="267"/>
      <c r="AI829" s="267"/>
    </row>
    <row r="830" spans="1:35" ht="13">
      <c r="A830" s="11"/>
      <c r="B830" s="11"/>
      <c r="C830" s="11"/>
      <c r="D830" s="11"/>
      <c r="E830" s="11"/>
      <c r="F830" s="270"/>
      <c r="G830" s="11"/>
      <c r="H830" s="11"/>
      <c r="I830" s="11"/>
      <c r="J830" s="11"/>
      <c r="K830" s="11"/>
      <c r="L830" s="11"/>
      <c r="M830" s="11"/>
      <c r="N830" s="11"/>
      <c r="O830" s="11"/>
      <c r="P830" s="263"/>
      <c r="Q830" s="263"/>
      <c r="R830" s="264"/>
      <c r="S830" s="264"/>
      <c r="T830" s="264"/>
      <c r="U830" s="11"/>
      <c r="V830" s="11"/>
      <c r="W830" s="11"/>
      <c r="X830" s="11"/>
      <c r="Y830" s="11"/>
      <c r="Z830" s="11"/>
      <c r="AA830" s="11"/>
      <c r="AB830" s="265"/>
      <c r="AC830" s="11"/>
      <c r="AD830" s="11"/>
      <c r="AE830" s="11"/>
      <c r="AF830" s="11"/>
      <c r="AG830" s="266"/>
      <c r="AH830" s="267"/>
      <c r="AI830" s="267"/>
    </row>
    <row r="831" spans="1:35" ht="13">
      <c r="A831" s="11"/>
      <c r="B831" s="11"/>
      <c r="C831" s="11"/>
      <c r="D831" s="11"/>
      <c r="E831" s="11"/>
      <c r="F831" s="270"/>
      <c r="G831" s="11"/>
      <c r="H831" s="11"/>
      <c r="I831" s="11"/>
      <c r="J831" s="11"/>
      <c r="K831" s="11"/>
      <c r="L831" s="11"/>
      <c r="M831" s="11"/>
      <c r="N831" s="11"/>
      <c r="O831" s="11"/>
      <c r="P831" s="263"/>
      <c r="Q831" s="263"/>
      <c r="R831" s="264"/>
      <c r="S831" s="264"/>
      <c r="T831" s="264"/>
      <c r="U831" s="11"/>
      <c r="V831" s="11"/>
      <c r="W831" s="11"/>
      <c r="X831" s="11"/>
      <c r="Y831" s="11"/>
      <c r="Z831" s="11"/>
      <c r="AA831" s="11"/>
      <c r="AB831" s="265"/>
      <c r="AC831" s="11"/>
      <c r="AD831" s="11"/>
      <c r="AE831" s="11"/>
      <c r="AF831" s="11"/>
      <c r="AG831" s="266"/>
      <c r="AH831" s="267"/>
      <c r="AI831" s="267"/>
    </row>
    <row r="832" spans="1:35" ht="13">
      <c r="A832" s="11"/>
      <c r="B832" s="11"/>
      <c r="C832" s="11"/>
      <c r="D832" s="11"/>
      <c r="E832" s="11"/>
      <c r="F832" s="270"/>
      <c r="G832" s="11"/>
      <c r="H832" s="11"/>
      <c r="I832" s="11"/>
      <c r="J832" s="11"/>
      <c r="K832" s="11"/>
      <c r="L832" s="11"/>
      <c r="M832" s="11"/>
      <c r="N832" s="11"/>
      <c r="O832" s="11"/>
      <c r="P832" s="263"/>
      <c r="Q832" s="263"/>
      <c r="R832" s="264"/>
      <c r="S832" s="264"/>
      <c r="T832" s="264"/>
      <c r="U832" s="11"/>
      <c r="V832" s="11"/>
      <c r="W832" s="11"/>
      <c r="X832" s="11"/>
      <c r="Y832" s="11"/>
      <c r="Z832" s="11"/>
      <c r="AA832" s="11"/>
      <c r="AB832" s="265"/>
      <c r="AC832" s="11"/>
      <c r="AD832" s="11"/>
      <c r="AE832" s="11"/>
      <c r="AF832" s="11"/>
      <c r="AG832" s="266"/>
      <c r="AH832" s="267"/>
      <c r="AI832" s="267"/>
    </row>
    <row r="833" spans="1:35" ht="13">
      <c r="A833" s="11"/>
      <c r="B833" s="11"/>
      <c r="C833" s="11"/>
      <c r="D833" s="11"/>
      <c r="E833" s="11"/>
      <c r="F833" s="270"/>
      <c r="G833" s="11"/>
      <c r="H833" s="11"/>
      <c r="I833" s="11"/>
      <c r="J833" s="11"/>
      <c r="K833" s="11"/>
      <c r="L833" s="11"/>
      <c r="M833" s="11"/>
      <c r="N833" s="11"/>
      <c r="O833" s="11"/>
      <c r="P833" s="263"/>
      <c r="Q833" s="263"/>
      <c r="R833" s="264"/>
      <c r="S833" s="264"/>
      <c r="T833" s="264"/>
      <c r="U833" s="11"/>
      <c r="V833" s="11"/>
      <c r="W833" s="11"/>
      <c r="X833" s="11"/>
      <c r="Y833" s="11"/>
      <c r="Z833" s="11"/>
      <c r="AA833" s="11"/>
      <c r="AB833" s="265"/>
      <c r="AC833" s="11"/>
      <c r="AD833" s="11"/>
      <c r="AE833" s="11"/>
      <c r="AF833" s="11"/>
      <c r="AG833" s="266"/>
      <c r="AH833" s="267"/>
      <c r="AI833" s="267"/>
    </row>
    <row r="834" spans="1:35" ht="13">
      <c r="A834" s="11"/>
      <c r="B834" s="11"/>
      <c r="C834" s="11"/>
      <c r="D834" s="11"/>
      <c r="E834" s="11"/>
      <c r="F834" s="270"/>
      <c r="G834" s="11"/>
      <c r="H834" s="11"/>
      <c r="I834" s="11"/>
      <c r="J834" s="11"/>
      <c r="K834" s="11"/>
      <c r="L834" s="11"/>
      <c r="M834" s="11"/>
      <c r="N834" s="11"/>
      <c r="O834" s="11"/>
      <c r="P834" s="263"/>
      <c r="Q834" s="263"/>
      <c r="R834" s="264"/>
      <c r="S834" s="264"/>
      <c r="T834" s="264"/>
      <c r="U834" s="11"/>
      <c r="V834" s="11"/>
      <c r="W834" s="11"/>
      <c r="X834" s="11"/>
      <c r="Y834" s="11"/>
      <c r="Z834" s="11"/>
      <c r="AA834" s="11"/>
      <c r="AB834" s="265"/>
      <c r="AC834" s="11"/>
      <c r="AD834" s="11"/>
      <c r="AE834" s="11"/>
      <c r="AF834" s="11"/>
      <c r="AG834" s="266"/>
      <c r="AH834" s="267"/>
      <c r="AI834" s="267"/>
    </row>
    <row r="835" spans="1:35" ht="13">
      <c r="A835" s="11"/>
      <c r="B835" s="11"/>
      <c r="C835" s="11"/>
      <c r="D835" s="11"/>
      <c r="E835" s="11"/>
      <c r="F835" s="270"/>
      <c r="G835" s="11"/>
      <c r="H835" s="11"/>
      <c r="I835" s="11"/>
      <c r="J835" s="11"/>
      <c r="K835" s="11"/>
      <c r="L835" s="11"/>
      <c r="M835" s="11"/>
      <c r="N835" s="11"/>
      <c r="O835" s="11"/>
      <c r="P835" s="263"/>
      <c r="Q835" s="263"/>
      <c r="R835" s="264"/>
      <c r="S835" s="264"/>
      <c r="T835" s="264"/>
      <c r="U835" s="11"/>
      <c r="V835" s="11"/>
      <c r="W835" s="11"/>
      <c r="X835" s="11"/>
      <c r="Y835" s="11"/>
      <c r="Z835" s="11"/>
      <c r="AA835" s="11"/>
      <c r="AB835" s="265"/>
      <c r="AC835" s="11"/>
      <c r="AD835" s="11"/>
      <c r="AE835" s="11"/>
      <c r="AF835" s="11"/>
      <c r="AG835" s="266"/>
      <c r="AH835" s="267"/>
      <c r="AI835" s="267"/>
    </row>
    <row r="836" spans="1:35" ht="13">
      <c r="A836" s="11"/>
      <c r="B836" s="11"/>
      <c r="C836" s="11"/>
      <c r="D836" s="11"/>
      <c r="E836" s="11"/>
      <c r="F836" s="270"/>
      <c r="G836" s="11"/>
      <c r="H836" s="11"/>
      <c r="I836" s="11"/>
      <c r="J836" s="11"/>
      <c r="K836" s="11"/>
      <c r="L836" s="11"/>
      <c r="M836" s="11"/>
      <c r="N836" s="11"/>
      <c r="O836" s="11"/>
      <c r="P836" s="263"/>
      <c r="Q836" s="263"/>
      <c r="R836" s="264"/>
      <c r="S836" s="264"/>
      <c r="T836" s="264"/>
      <c r="U836" s="11"/>
      <c r="V836" s="11"/>
      <c r="W836" s="11"/>
      <c r="X836" s="11"/>
      <c r="Y836" s="11"/>
      <c r="Z836" s="11"/>
      <c r="AA836" s="11"/>
      <c r="AB836" s="265"/>
      <c r="AC836" s="11"/>
      <c r="AD836" s="11"/>
      <c r="AE836" s="11"/>
      <c r="AF836" s="11"/>
      <c r="AG836" s="266"/>
      <c r="AH836" s="267"/>
      <c r="AI836" s="267"/>
    </row>
    <row r="837" spans="1:35" ht="13">
      <c r="A837" s="11"/>
      <c r="B837" s="11"/>
      <c r="C837" s="11"/>
      <c r="D837" s="11"/>
      <c r="E837" s="11"/>
      <c r="F837" s="270"/>
      <c r="G837" s="11"/>
      <c r="H837" s="11"/>
      <c r="I837" s="11"/>
      <c r="J837" s="11"/>
      <c r="K837" s="11"/>
      <c r="L837" s="11"/>
      <c r="M837" s="11"/>
      <c r="N837" s="11"/>
      <c r="O837" s="11"/>
      <c r="P837" s="263"/>
      <c r="Q837" s="263"/>
      <c r="R837" s="264"/>
      <c r="S837" s="264"/>
      <c r="T837" s="264"/>
      <c r="U837" s="11"/>
      <c r="V837" s="11"/>
      <c r="W837" s="11"/>
      <c r="X837" s="11"/>
      <c r="Y837" s="11"/>
      <c r="Z837" s="11"/>
      <c r="AA837" s="11"/>
      <c r="AB837" s="265"/>
      <c r="AC837" s="11"/>
      <c r="AD837" s="11"/>
      <c r="AE837" s="11"/>
      <c r="AF837" s="11"/>
      <c r="AG837" s="266"/>
      <c r="AH837" s="267"/>
      <c r="AI837" s="267"/>
    </row>
    <row r="838" spans="1:35" ht="13">
      <c r="A838" s="11"/>
      <c r="B838" s="11"/>
      <c r="C838" s="11"/>
      <c r="D838" s="11"/>
      <c r="E838" s="11"/>
      <c r="F838" s="270"/>
      <c r="G838" s="11"/>
      <c r="H838" s="11"/>
      <c r="I838" s="11"/>
      <c r="J838" s="11"/>
      <c r="K838" s="11"/>
      <c r="L838" s="11"/>
      <c r="M838" s="11"/>
      <c r="N838" s="11"/>
      <c r="O838" s="11"/>
      <c r="P838" s="263"/>
      <c r="Q838" s="263"/>
      <c r="R838" s="264"/>
      <c r="S838" s="264"/>
      <c r="T838" s="264"/>
      <c r="U838" s="11"/>
      <c r="V838" s="11"/>
      <c r="W838" s="11"/>
      <c r="X838" s="11"/>
      <c r="Y838" s="11"/>
      <c r="Z838" s="11"/>
      <c r="AA838" s="11"/>
      <c r="AB838" s="265"/>
      <c r="AC838" s="11"/>
      <c r="AD838" s="11"/>
      <c r="AE838" s="11"/>
      <c r="AF838" s="11"/>
      <c r="AG838" s="266"/>
      <c r="AH838" s="267"/>
      <c r="AI838" s="267"/>
    </row>
    <row r="839" spans="1:35" ht="13">
      <c r="A839" s="11"/>
      <c r="B839" s="11"/>
      <c r="C839" s="11"/>
      <c r="D839" s="11"/>
      <c r="E839" s="11"/>
      <c r="F839" s="270"/>
      <c r="G839" s="11"/>
      <c r="H839" s="11"/>
      <c r="I839" s="11"/>
      <c r="J839" s="11"/>
      <c r="K839" s="11"/>
      <c r="L839" s="11"/>
      <c r="M839" s="11"/>
      <c r="N839" s="11"/>
      <c r="O839" s="11"/>
      <c r="P839" s="263"/>
      <c r="Q839" s="263"/>
      <c r="R839" s="264"/>
      <c r="S839" s="264"/>
      <c r="T839" s="264"/>
      <c r="U839" s="11"/>
      <c r="V839" s="11"/>
      <c r="W839" s="11"/>
      <c r="X839" s="11"/>
      <c r="Y839" s="11"/>
      <c r="Z839" s="11"/>
      <c r="AA839" s="11"/>
      <c r="AB839" s="265"/>
      <c r="AC839" s="11"/>
      <c r="AD839" s="11"/>
      <c r="AE839" s="11"/>
      <c r="AF839" s="11"/>
      <c r="AG839" s="266"/>
      <c r="AH839" s="267"/>
      <c r="AI839" s="267"/>
    </row>
    <row r="840" spans="1:35" ht="13">
      <c r="A840" s="11"/>
      <c r="B840" s="11"/>
      <c r="C840" s="11"/>
      <c r="D840" s="11"/>
      <c r="E840" s="11"/>
      <c r="F840" s="270"/>
      <c r="G840" s="11"/>
      <c r="H840" s="11"/>
      <c r="I840" s="11"/>
      <c r="J840" s="11"/>
      <c r="K840" s="11"/>
      <c r="L840" s="11"/>
      <c r="M840" s="11"/>
      <c r="N840" s="11"/>
      <c r="O840" s="11"/>
      <c r="P840" s="263"/>
      <c r="Q840" s="263"/>
      <c r="R840" s="264"/>
      <c r="S840" s="264"/>
      <c r="T840" s="264"/>
      <c r="U840" s="11"/>
      <c r="V840" s="11"/>
      <c r="W840" s="11"/>
      <c r="X840" s="11"/>
      <c r="Y840" s="11"/>
      <c r="Z840" s="11"/>
      <c r="AA840" s="11"/>
      <c r="AB840" s="265"/>
      <c r="AC840" s="11"/>
      <c r="AD840" s="11"/>
      <c r="AE840" s="11"/>
      <c r="AF840" s="11"/>
      <c r="AG840" s="266"/>
      <c r="AH840" s="267"/>
      <c r="AI840" s="267"/>
    </row>
    <row r="841" spans="1:35" ht="13">
      <c r="A841" s="11"/>
      <c r="B841" s="11"/>
      <c r="C841" s="11"/>
      <c r="D841" s="11"/>
      <c r="E841" s="11"/>
      <c r="F841" s="270"/>
      <c r="G841" s="11"/>
      <c r="H841" s="11"/>
      <c r="I841" s="11"/>
      <c r="J841" s="11"/>
      <c r="K841" s="11"/>
      <c r="L841" s="11"/>
      <c r="M841" s="11"/>
      <c r="N841" s="11"/>
      <c r="O841" s="11"/>
      <c r="P841" s="263"/>
      <c r="Q841" s="263"/>
      <c r="R841" s="264"/>
      <c r="S841" s="264"/>
      <c r="T841" s="264"/>
      <c r="U841" s="11"/>
      <c r="V841" s="11"/>
      <c r="W841" s="11"/>
      <c r="X841" s="11"/>
      <c r="Y841" s="11"/>
      <c r="Z841" s="11"/>
      <c r="AA841" s="11"/>
      <c r="AB841" s="265"/>
      <c r="AC841" s="11"/>
      <c r="AD841" s="11"/>
      <c r="AE841" s="11"/>
      <c r="AF841" s="11"/>
      <c r="AG841" s="266"/>
      <c r="AH841" s="267"/>
      <c r="AI841" s="267"/>
    </row>
    <row r="842" spans="1:35" ht="13">
      <c r="A842" s="11"/>
      <c r="B842" s="11"/>
      <c r="C842" s="11"/>
      <c r="D842" s="11"/>
      <c r="E842" s="11"/>
      <c r="F842" s="270"/>
      <c r="G842" s="11"/>
      <c r="H842" s="11"/>
      <c r="I842" s="11"/>
      <c r="J842" s="11"/>
      <c r="K842" s="11"/>
      <c r="L842" s="11"/>
      <c r="M842" s="11"/>
      <c r="N842" s="11"/>
      <c r="O842" s="11"/>
      <c r="P842" s="263"/>
      <c r="Q842" s="263"/>
      <c r="R842" s="264"/>
      <c r="S842" s="264"/>
      <c r="T842" s="264"/>
      <c r="U842" s="11"/>
      <c r="V842" s="11"/>
      <c r="W842" s="11"/>
      <c r="X842" s="11"/>
      <c r="Y842" s="11"/>
      <c r="Z842" s="11"/>
      <c r="AA842" s="11"/>
      <c r="AB842" s="265"/>
      <c r="AC842" s="11"/>
      <c r="AD842" s="11"/>
      <c r="AE842" s="11"/>
      <c r="AF842" s="11"/>
      <c r="AG842" s="266"/>
      <c r="AH842" s="267"/>
      <c r="AI842" s="267"/>
    </row>
    <row r="843" spans="1:35" ht="13">
      <c r="A843" s="11"/>
      <c r="B843" s="11"/>
      <c r="C843" s="11"/>
      <c r="D843" s="11"/>
      <c r="E843" s="11"/>
      <c r="F843" s="270"/>
      <c r="G843" s="11"/>
      <c r="H843" s="11"/>
      <c r="I843" s="11"/>
      <c r="J843" s="11"/>
      <c r="K843" s="11"/>
      <c r="L843" s="11"/>
      <c r="M843" s="11"/>
      <c r="N843" s="11"/>
      <c r="O843" s="11"/>
      <c r="P843" s="263"/>
      <c r="Q843" s="263"/>
      <c r="R843" s="264"/>
      <c r="S843" s="264"/>
      <c r="T843" s="264"/>
      <c r="U843" s="11"/>
      <c r="V843" s="11"/>
      <c r="W843" s="11"/>
      <c r="X843" s="11"/>
      <c r="Y843" s="11"/>
      <c r="Z843" s="11"/>
      <c r="AA843" s="11"/>
      <c r="AB843" s="265"/>
      <c r="AC843" s="11"/>
      <c r="AD843" s="11"/>
      <c r="AE843" s="11"/>
      <c r="AF843" s="11"/>
      <c r="AG843" s="266"/>
      <c r="AH843" s="267"/>
      <c r="AI843" s="267"/>
    </row>
    <row r="844" spans="1:35" ht="13">
      <c r="A844" s="11"/>
      <c r="B844" s="11"/>
      <c r="C844" s="11"/>
      <c r="D844" s="11"/>
      <c r="E844" s="11"/>
      <c r="F844" s="270"/>
      <c r="G844" s="11"/>
      <c r="H844" s="11"/>
      <c r="I844" s="11"/>
      <c r="J844" s="11"/>
      <c r="K844" s="11"/>
      <c r="L844" s="11"/>
      <c r="M844" s="11"/>
      <c r="N844" s="11"/>
      <c r="O844" s="11"/>
      <c r="P844" s="263"/>
      <c r="Q844" s="263"/>
      <c r="R844" s="264"/>
      <c r="S844" s="264"/>
      <c r="T844" s="264"/>
      <c r="U844" s="11"/>
      <c r="V844" s="11"/>
      <c r="W844" s="11"/>
      <c r="X844" s="11"/>
      <c r="Y844" s="11"/>
      <c r="Z844" s="11"/>
      <c r="AA844" s="11"/>
      <c r="AB844" s="265"/>
      <c r="AC844" s="11"/>
      <c r="AD844" s="11"/>
      <c r="AE844" s="11"/>
      <c r="AF844" s="11"/>
      <c r="AG844" s="266"/>
      <c r="AH844" s="267"/>
      <c r="AI844" s="267"/>
    </row>
    <row r="845" spans="1:35" ht="13">
      <c r="A845" s="11"/>
      <c r="B845" s="11"/>
      <c r="C845" s="11"/>
      <c r="D845" s="11"/>
      <c r="E845" s="11"/>
      <c r="F845" s="270"/>
      <c r="G845" s="11"/>
      <c r="H845" s="11"/>
      <c r="I845" s="11"/>
      <c r="J845" s="11"/>
      <c r="K845" s="11"/>
      <c r="L845" s="11"/>
      <c r="M845" s="11"/>
      <c r="N845" s="11"/>
      <c r="O845" s="11"/>
      <c r="P845" s="263"/>
      <c r="Q845" s="263"/>
      <c r="R845" s="264"/>
      <c r="S845" s="264"/>
      <c r="T845" s="264"/>
      <c r="U845" s="11"/>
      <c r="V845" s="11"/>
      <c r="W845" s="11"/>
      <c r="X845" s="11"/>
      <c r="Y845" s="11"/>
      <c r="Z845" s="11"/>
      <c r="AA845" s="11"/>
      <c r="AB845" s="265"/>
      <c r="AC845" s="11"/>
      <c r="AD845" s="11"/>
      <c r="AE845" s="11"/>
      <c r="AF845" s="11"/>
      <c r="AG845" s="266"/>
      <c r="AH845" s="267"/>
      <c r="AI845" s="267"/>
    </row>
    <row r="846" spans="1:35" ht="13">
      <c r="A846" s="11"/>
      <c r="B846" s="11"/>
      <c r="C846" s="11"/>
      <c r="D846" s="11"/>
      <c r="E846" s="11"/>
      <c r="F846" s="270"/>
      <c r="G846" s="11"/>
      <c r="H846" s="11"/>
      <c r="I846" s="11"/>
      <c r="J846" s="11"/>
      <c r="K846" s="11"/>
      <c r="L846" s="11"/>
      <c r="M846" s="11"/>
      <c r="N846" s="11"/>
      <c r="O846" s="11"/>
      <c r="P846" s="263"/>
      <c r="Q846" s="263"/>
      <c r="R846" s="264"/>
      <c r="S846" s="264"/>
      <c r="T846" s="264"/>
      <c r="U846" s="11"/>
      <c r="V846" s="11"/>
      <c r="W846" s="11"/>
      <c r="X846" s="11"/>
      <c r="Y846" s="11"/>
      <c r="Z846" s="11"/>
      <c r="AA846" s="11"/>
      <c r="AB846" s="265"/>
      <c r="AC846" s="11"/>
      <c r="AD846" s="11"/>
      <c r="AE846" s="11"/>
      <c r="AF846" s="11"/>
      <c r="AG846" s="266"/>
      <c r="AH846" s="267"/>
      <c r="AI846" s="267"/>
    </row>
    <row r="847" spans="1:35" ht="13">
      <c r="A847" s="11"/>
      <c r="B847" s="11"/>
      <c r="C847" s="11"/>
      <c r="D847" s="11"/>
      <c r="E847" s="11"/>
      <c r="F847" s="270"/>
      <c r="G847" s="11"/>
      <c r="H847" s="11"/>
      <c r="I847" s="11"/>
      <c r="J847" s="11"/>
      <c r="K847" s="11"/>
      <c r="L847" s="11"/>
      <c r="M847" s="11"/>
      <c r="N847" s="11"/>
      <c r="O847" s="11"/>
      <c r="P847" s="263"/>
      <c r="Q847" s="263"/>
      <c r="R847" s="264"/>
      <c r="S847" s="264"/>
      <c r="T847" s="264"/>
      <c r="U847" s="11"/>
      <c r="V847" s="11"/>
      <c r="W847" s="11"/>
      <c r="X847" s="11"/>
      <c r="Y847" s="11"/>
      <c r="Z847" s="11"/>
      <c r="AA847" s="11"/>
      <c r="AB847" s="265"/>
      <c r="AC847" s="11"/>
      <c r="AD847" s="11"/>
      <c r="AE847" s="11"/>
      <c r="AF847" s="11"/>
      <c r="AG847" s="266"/>
      <c r="AH847" s="267"/>
      <c r="AI847" s="267"/>
    </row>
    <row r="848" spans="1:35" ht="13">
      <c r="A848" s="11"/>
      <c r="B848" s="11"/>
      <c r="C848" s="11"/>
      <c r="D848" s="11"/>
      <c r="E848" s="11"/>
      <c r="F848" s="270"/>
      <c r="G848" s="11"/>
      <c r="H848" s="11"/>
      <c r="I848" s="11"/>
      <c r="J848" s="11"/>
      <c r="K848" s="11"/>
      <c r="L848" s="11"/>
      <c r="M848" s="11"/>
      <c r="N848" s="11"/>
      <c r="O848" s="11"/>
      <c r="P848" s="263"/>
      <c r="Q848" s="263"/>
      <c r="R848" s="264"/>
      <c r="S848" s="264"/>
      <c r="T848" s="264"/>
      <c r="U848" s="11"/>
      <c r="V848" s="11"/>
      <c r="W848" s="11"/>
      <c r="X848" s="11"/>
      <c r="Y848" s="11"/>
      <c r="Z848" s="11"/>
      <c r="AA848" s="11"/>
      <c r="AB848" s="265"/>
      <c r="AC848" s="11"/>
      <c r="AD848" s="11"/>
      <c r="AE848" s="11"/>
      <c r="AF848" s="11"/>
      <c r="AG848" s="266"/>
      <c r="AH848" s="267"/>
      <c r="AI848" s="267"/>
    </row>
    <row r="849" spans="1:35" ht="13">
      <c r="A849" s="11"/>
      <c r="B849" s="11"/>
      <c r="C849" s="11"/>
      <c r="D849" s="11"/>
      <c r="E849" s="11"/>
      <c r="F849" s="270"/>
      <c r="G849" s="11"/>
      <c r="H849" s="11"/>
      <c r="I849" s="11"/>
      <c r="J849" s="11"/>
      <c r="K849" s="11"/>
      <c r="L849" s="11"/>
      <c r="M849" s="11"/>
      <c r="N849" s="11"/>
      <c r="O849" s="11"/>
      <c r="P849" s="263"/>
      <c r="Q849" s="263"/>
      <c r="R849" s="264"/>
      <c r="S849" s="264"/>
      <c r="T849" s="264"/>
      <c r="U849" s="11"/>
      <c r="V849" s="11"/>
      <c r="W849" s="11"/>
      <c r="X849" s="11"/>
      <c r="Y849" s="11"/>
      <c r="Z849" s="11"/>
      <c r="AA849" s="11"/>
      <c r="AB849" s="265"/>
      <c r="AC849" s="11"/>
      <c r="AD849" s="11"/>
      <c r="AE849" s="11"/>
      <c r="AF849" s="11"/>
      <c r="AG849" s="266"/>
      <c r="AH849" s="267"/>
      <c r="AI849" s="267"/>
    </row>
    <row r="850" spans="1:35" ht="13">
      <c r="A850" s="11"/>
      <c r="B850" s="11"/>
      <c r="C850" s="11"/>
      <c r="D850" s="11"/>
      <c r="E850" s="11"/>
      <c r="F850" s="270"/>
      <c r="G850" s="11"/>
      <c r="H850" s="11"/>
      <c r="I850" s="11"/>
      <c r="J850" s="11"/>
      <c r="K850" s="11"/>
      <c r="L850" s="11"/>
      <c r="M850" s="11"/>
      <c r="N850" s="11"/>
      <c r="O850" s="11"/>
      <c r="P850" s="263"/>
      <c r="Q850" s="263"/>
      <c r="R850" s="264"/>
      <c r="S850" s="264"/>
      <c r="T850" s="264"/>
      <c r="U850" s="11"/>
      <c r="V850" s="11"/>
      <c r="W850" s="11"/>
      <c r="X850" s="11"/>
      <c r="Y850" s="11"/>
      <c r="Z850" s="11"/>
      <c r="AA850" s="11"/>
      <c r="AB850" s="265"/>
      <c r="AC850" s="11"/>
      <c r="AD850" s="11"/>
      <c r="AE850" s="11"/>
      <c r="AF850" s="11"/>
      <c r="AG850" s="266"/>
      <c r="AH850" s="267"/>
      <c r="AI850" s="267"/>
    </row>
    <row r="851" spans="1:35" ht="13">
      <c r="A851" s="11"/>
      <c r="B851" s="11"/>
      <c r="C851" s="11"/>
      <c r="D851" s="11"/>
      <c r="E851" s="11"/>
      <c r="F851" s="270"/>
      <c r="G851" s="11"/>
      <c r="H851" s="11"/>
      <c r="I851" s="11"/>
      <c r="J851" s="11"/>
      <c r="K851" s="11"/>
      <c r="L851" s="11"/>
      <c r="M851" s="11"/>
      <c r="N851" s="11"/>
      <c r="O851" s="11"/>
      <c r="P851" s="263"/>
      <c r="Q851" s="263"/>
      <c r="R851" s="264"/>
      <c r="S851" s="264"/>
      <c r="T851" s="264"/>
      <c r="U851" s="11"/>
      <c r="V851" s="11"/>
      <c r="W851" s="11"/>
      <c r="X851" s="11"/>
      <c r="Y851" s="11"/>
      <c r="Z851" s="11"/>
      <c r="AA851" s="11"/>
      <c r="AB851" s="265"/>
      <c r="AC851" s="11"/>
      <c r="AD851" s="11"/>
      <c r="AE851" s="11"/>
      <c r="AF851" s="11"/>
      <c r="AG851" s="266"/>
      <c r="AH851" s="267"/>
      <c r="AI851" s="267"/>
    </row>
    <row r="852" spans="1:35" ht="13">
      <c r="A852" s="11"/>
      <c r="B852" s="11"/>
      <c r="C852" s="11"/>
      <c r="D852" s="11"/>
      <c r="E852" s="11"/>
      <c r="F852" s="270"/>
      <c r="G852" s="11"/>
      <c r="H852" s="11"/>
      <c r="I852" s="11"/>
      <c r="J852" s="11"/>
      <c r="K852" s="11"/>
      <c r="L852" s="11"/>
      <c r="M852" s="11"/>
      <c r="N852" s="11"/>
      <c r="O852" s="11"/>
      <c r="P852" s="263"/>
      <c r="Q852" s="263"/>
      <c r="R852" s="264"/>
      <c r="S852" s="264"/>
      <c r="T852" s="264"/>
      <c r="U852" s="11"/>
      <c r="V852" s="11"/>
      <c r="W852" s="11"/>
      <c r="X852" s="11"/>
      <c r="Y852" s="11"/>
      <c r="Z852" s="11"/>
      <c r="AA852" s="11"/>
      <c r="AB852" s="265"/>
      <c r="AC852" s="11"/>
      <c r="AD852" s="11"/>
      <c r="AE852" s="11"/>
      <c r="AF852" s="11"/>
      <c r="AG852" s="266"/>
      <c r="AH852" s="267"/>
      <c r="AI852" s="267"/>
    </row>
    <row r="853" spans="1:35" ht="13">
      <c r="A853" s="11"/>
      <c r="B853" s="11"/>
      <c r="C853" s="11"/>
      <c r="D853" s="11"/>
      <c r="E853" s="11"/>
      <c r="F853" s="270"/>
      <c r="G853" s="11"/>
      <c r="H853" s="11"/>
      <c r="I853" s="11"/>
      <c r="J853" s="11"/>
      <c r="K853" s="11"/>
      <c r="L853" s="11"/>
      <c r="M853" s="11"/>
      <c r="N853" s="11"/>
      <c r="O853" s="11"/>
      <c r="P853" s="263"/>
      <c r="Q853" s="263"/>
      <c r="R853" s="264"/>
      <c r="S853" s="264"/>
      <c r="T853" s="264"/>
      <c r="U853" s="11"/>
      <c r="V853" s="11"/>
      <c r="W853" s="11"/>
      <c r="X853" s="11"/>
      <c r="Y853" s="11"/>
      <c r="Z853" s="11"/>
      <c r="AA853" s="11"/>
      <c r="AB853" s="265"/>
      <c r="AC853" s="11"/>
      <c r="AD853" s="11"/>
      <c r="AE853" s="11"/>
      <c r="AF853" s="11"/>
      <c r="AG853" s="266"/>
      <c r="AH853" s="267"/>
      <c r="AI853" s="267"/>
    </row>
    <row r="854" spans="1:35" ht="13">
      <c r="A854" s="11"/>
      <c r="B854" s="11"/>
      <c r="C854" s="11"/>
      <c r="D854" s="11"/>
      <c r="E854" s="11"/>
      <c r="F854" s="270"/>
      <c r="G854" s="11"/>
      <c r="H854" s="11"/>
      <c r="I854" s="11"/>
      <c r="J854" s="11"/>
      <c r="K854" s="11"/>
      <c r="L854" s="11"/>
      <c r="M854" s="11"/>
      <c r="N854" s="11"/>
      <c r="O854" s="11"/>
      <c r="P854" s="263"/>
      <c r="Q854" s="263"/>
      <c r="R854" s="264"/>
      <c r="S854" s="264"/>
      <c r="T854" s="264"/>
      <c r="U854" s="11"/>
      <c r="V854" s="11"/>
      <c r="W854" s="11"/>
      <c r="X854" s="11"/>
      <c r="Y854" s="11"/>
      <c r="Z854" s="11"/>
      <c r="AA854" s="11"/>
      <c r="AB854" s="279"/>
      <c r="AC854" s="280"/>
      <c r="AD854" s="280"/>
      <c r="AE854" s="280"/>
      <c r="AF854" s="280"/>
      <c r="AG854" s="281"/>
      <c r="AH854" s="267"/>
      <c r="AI854" s="267"/>
    </row>
  </sheetData>
  <mergeCells count="25">
    <mergeCell ref="AB1:AG1"/>
    <mergeCell ref="AH1:AH2"/>
    <mergeCell ref="AI1:AI2"/>
    <mergeCell ref="O1:O2"/>
    <mergeCell ref="P1:P2"/>
    <mergeCell ref="Q1:Q2"/>
    <mergeCell ref="R1:R2"/>
    <mergeCell ref="S1:S2"/>
    <mergeCell ref="T1:T2"/>
    <mergeCell ref="U1:U2"/>
    <mergeCell ref="K1:K2"/>
    <mergeCell ref="L1:L2"/>
    <mergeCell ref="M1:M2"/>
    <mergeCell ref="N1:N2"/>
    <mergeCell ref="V1:AA1"/>
    <mergeCell ref="F1:F2"/>
    <mergeCell ref="G1:G2"/>
    <mergeCell ref="H1:H2"/>
    <mergeCell ref="I1:I2"/>
    <mergeCell ref="J1:J2"/>
    <mergeCell ref="A1:A2"/>
    <mergeCell ref="B1:B2"/>
    <mergeCell ref="C1:C2"/>
    <mergeCell ref="D1:D2"/>
    <mergeCell ref="E1:E2"/>
  </mergeCells>
  <conditionalFormatting sqref="J36:N36">
    <cfRule type="notContainsBlanks" dxfId="1" priority="1">
      <formula>LEN(TRIM(J36))&gt;0</formula>
    </cfRule>
  </conditionalFormatting>
  <dataValidations count="4">
    <dataValidation type="list" allowBlank="1" sqref="L4:L85 L87:L406 L408:L854" xr:uid="{00000000-0002-0000-0300-000000000000}">
      <formula1>"0,1"</formula1>
    </dataValidation>
    <dataValidation type="list" allowBlank="1" sqref="M4:N406 M408:N854" xr:uid="{00000000-0002-0000-0300-000001000000}">
      <formula1>"0,1,-1"</formula1>
    </dataValidation>
    <dataValidation type="list" allowBlank="1" sqref="U4:U107 U113:U353 U378:U406 U408:U525 U532:U854" xr:uid="{00000000-0002-0000-0300-000002000000}">
      <formula1>"индикатор,инструмент"</formula1>
    </dataValidation>
    <dataValidation type="list" allowBlank="1" sqref="J4:J406 J532:J854 J408:J525" xr:uid="{00000000-0002-0000-0300-000003000000}">
      <formula1>#REF!</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7E1CD"/>
    <outlinePr summaryBelow="0" summaryRight="0"/>
  </sheetPr>
  <dimension ref="A1:E23"/>
  <sheetViews>
    <sheetView showGridLines="0" workbookViewId="0"/>
  </sheetViews>
  <sheetFormatPr baseColWidth="10" defaultColWidth="14.5" defaultRowHeight="15.75" customHeight="1"/>
  <cols>
    <col min="1" max="1" width="33.6640625" customWidth="1"/>
    <col min="2" max="2" width="14.33203125" customWidth="1"/>
    <col min="3" max="3" width="31.33203125" customWidth="1"/>
  </cols>
  <sheetData>
    <row r="1" spans="1:3" ht="15.75" customHeight="1">
      <c r="A1" s="5" t="s">
        <v>34</v>
      </c>
      <c r="B1" s="5" t="s">
        <v>612</v>
      </c>
      <c r="C1" s="5" t="s">
        <v>613</v>
      </c>
    </row>
    <row r="2" spans="1:3" ht="15.75" customHeight="1">
      <c r="A2" s="5" t="s">
        <v>614</v>
      </c>
      <c r="B2" s="5">
        <v>6</v>
      </c>
      <c r="C2" s="5">
        <v>20</v>
      </c>
    </row>
    <row r="3" spans="1:3" ht="15.75" customHeight="1">
      <c r="A3" s="5" t="s">
        <v>617</v>
      </c>
      <c r="B3" s="5">
        <v>12</v>
      </c>
      <c r="C3" s="5">
        <v>71</v>
      </c>
    </row>
    <row r="4" spans="1:3" ht="15.75" customHeight="1">
      <c r="A4" s="5" t="s">
        <v>619</v>
      </c>
      <c r="B4" s="5">
        <v>1</v>
      </c>
      <c r="C4" s="5">
        <v>24</v>
      </c>
    </row>
    <row r="5" spans="1:3" ht="15.75" customHeight="1">
      <c r="A5" s="5" t="s">
        <v>620</v>
      </c>
      <c r="B5" s="5">
        <v>4</v>
      </c>
      <c r="C5" s="5">
        <v>48</v>
      </c>
    </row>
    <row r="6" spans="1:3" ht="15.75" customHeight="1">
      <c r="A6" s="5" t="s">
        <v>622</v>
      </c>
      <c r="B6" s="5">
        <v>1</v>
      </c>
      <c r="C6" s="5">
        <v>13</v>
      </c>
    </row>
    <row r="7" spans="1:3" ht="15.75" customHeight="1">
      <c r="A7" s="5" t="s">
        <v>623</v>
      </c>
      <c r="B7" s="5">
        <v>13</v>
      </c>
      <c r="C7" s="5">
        <v>30</v>
      </c>
    </row>
    <row r="8" spans="1:3" ht="15.75" customHeight="1">
      <c r="A8" s="5" t="s">
        <v>624</v>
      </c>
      <c r="B8" s="5">
        <v>6</v>
      </c>
      <c r="C8" s="5">
        <v>26</v>
      </c>
    </row>
    <row r="9" spans="1:3" ht="15.75" customHeight="1">
      <c r="A9" s="5" t="s">
        <v>625</v>
      </c>
      <c r="B9" s="5">
        <v>6</v>
      </c>
      <c r="C9" s="5">
        <v>28</v>
      </c>
    </row>
    <row r="10" spans="1:3" ht="15.75" customHeight="1">
      <c r="A10" s="5" t="s">
        <v>626</v>
      </c>
      <c r="B10" s="5">
        <v>2</v>
      </c>
      <c r="C10" s="5">
        <v>15</v>
      </c>
    </row>
    <row r="11" spans="1:3" ht="15.75" customHeight="1">
      <c r="A11" s="5" t="s">
        <v>629</v>
      </c>
      <c r="B11" s="5">
        <v>11</v>
      </c>
      <c r="C11" s="5">
        <v>68</v>
      </c>
    </row>
    <row r="12" spans="1:3" ht="15.75" customHeight="1">
      <c r="A12" s="5" t="s">
        <v>630</v>
      </c>
      <c r="B12" s="5">
        <v>3</v>
      </c>
      <c r="C12" s="5">
        <v>67</v>
      </c>
    </row>
    <row r="13" spans="1:3" ht="15.75" customHeight="1">
      <c r="A13" s="5" t="s">
        <v>633</v>
      </c>
      <c r="B13" s="5">
        <v>1</v>
      </c>
      <c r="C13" s="5">
        <v>17</v>
      </c>
    </row>
    <row r="14" spans="1:3" ht="15.75" customHeight="1">
      <c r="A14" s="5" t="s">
        <v>634</v>
      </c>
      <c r="B14" s="5">
        <v>11</v>
      </c>
      <c r="C14" s="5">
        <v>31</v>
      </c>
    </row>
    <row r="15" spans="1:3" ht="15.75" customHeight="1">
      <c r="A15" s="5"/>
      <c r="B15" s="5"/>
      <c r="C15" s="5"/>
    </row>
    <row r="16" spans="1:3" ht="15.75" customHeight="1">
      <c r="A16" s="5"/>
      <c r="B16" s="5"/>
      <c r="C16" s="5"/>
    </row>
    <row r="17" spans="1:5" ht="15.75" customHeight="1">
      <c r="A17" s="5"/>
      <c r="B17" s="5"/>
      <c r="C17" s="5"/>
    </row>
    <row r="18" spans="1:5" ht="15.75" customHeight="1">
      <c r="A18" s="5"/>
      <c r="B18" s="5"/>
      <c r="C18" s="5"/>
    </row>
    <row r="19" spans="1:5" ht="15.75" customHeight="1">
      <c r="A19" s="74" t="s">
        <v>637</v>
      </c>
      <c r="B19" s="75">
        <f>SUM(B2:B15)</f>
        <v>77</v>
      </c>
      <c r="C19" s="75">
        <f>SUM(C2:C15)</f>
        <v>458</v>
      </c>
    </row>
    <row r="21" spans="1:5" ht="15.75" customHeight="1">
      <c r="A21" s="5"/>
      <c r="B21" s="76" t="s">
        <v>641</v>
      </c>
      <c r="C21" s="77" t="s">
        <v>643</v>
      </c>
      <c r="D21" s="78" t="s">
        <v>644</v>
      </c>
    </row>
    <row r="22" spans="1:5" ht="15.75" customHeight="1">
      <c r="A22" s="6" t="s">
        <v>645</v>
      </c>
      <c r="B22" s="5">
        <f>COUNTA(#REF!)+COUNTA(#REF!)</f>
        <v>2</v>
      </c>
      <c r="C22" s="5">
        <f>B19</f>
        <v>77</v>
      </c>
      <c r="D22" s="79">
        <f>C22/B22</f>
        <v>38.5</v>
      </c>
      <c r="E22" s="89" t="str">
        <f ca="1">IFERROR(__xludf.DUMMYFUNCTION("SPARKLINE(D22,{""charttype"",""bar"";""max"",1})"),"")</f>
        <v/>
      </c>
    </row>
    <row r="23" spans="1:5" ht="13">
      <c r="A23" s="6" t="s">
        <v>703</v>
      </c>
      <c r="B23" s="5">
        <f ca="1">IFERROR(__xludf.DUMMYFUNCTION("COUNTUNIQUE(Pilot!J:J)-3"),1918)</f>
        <v>1918</v>
      </c>
      <c r="C23" s="5">
        <f>C19</f>
        <v>458</v>
      </c>
      <c r="D23" s="79">
        <f ca="1">C23/B23</f>
        <v>0.23879040667361837</v>
      </c>
      <c r="E23" s="89" t="str">
        <f ca="1">IFERROR(__xludf.DUMMYFUNCTION("SPARKLINE(D23,{""charttype"",""bar"";""max"",1})"),"")</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C14"/>
  <sheetViews>
    <sheetView workbookViewId="0"/>
  </sheetViews>
  <sheetFormatPr baseColWidth="10" defaultColWidth="14.5" defaultRowHeight="15.75" customHeight="1"/>
  <cols>
    <col min="1" max="1" width="3.1640625" customWidth="1"/>
    <col min="3" max="3" width="96.5" customWidth="1"/>
  </cols>
  <sheetData>
    <row r="1" spans="1:3" ht="15.75" customHeight="1">
      <c r="A1" s="2" t="s">
        <v>0</v>
      </c>
      <c r="B1" s="2" t="s">
        <v>271</v>
      </c>
      <c r="C1" s="2" t="s">
        <v>706</v>
      </c>
    </row>
    <row r="2" spans="1:3" ht="15.75" customHeight="1">
      <c r="A2" s="2">
        <v>1</v>
      </c>
      <c r="B2" s="2" t="s">
        <v>707</v>
      </c>
      <c r="C2" s="90" t="s">
        <v>708</v>
      </c>
    </row>
    <row r="3" spans="1:3" ht="15.75" customHeight="1">
      <c r="A3" s="2">
        <v>2</v>
      </c>
      <c r="B3" s="2" t="s">
        <v>709</v>
      </c>
      <c r="C3" s="90" t="s">
        <v>710</v>
      </c>
    </row>
    <row r="4" spans="1:3" ht="15.75" customHeight="1">
      <c r="A4" s="2">
        <v>3</v>
      </c>
      <c r="B4" s="2" t="s">
        <v>711</v>
      </c>
      <c r="C4" s="90" t="s">
        <v>712</v>
      </c>
    </row>
    <row r="5" spans="1:3" ht="15.75" customHeight="1">
      <c r="A5" s="2">
        <v>4</v>
      </c>
      <c r="B5" s="2" t="s">
        <v>713</v>
      </c>
      <c r="C5" s="90" t="s">
        <v>714</v>
      </c>
    </row>
    <row r="6" spans="1:3" ht="15.75" customHeight="1">
      <c r="A6" s="2">
        <v>5</v>
      </c>
      <c r="B6" s="2" t="s">
        <v>715</v>
      </c>
      <c r="C6" s="90" t="s">
        <v>717</v>
      </c>
    </row>
    <row r="7" spans="1:3" ht="15.75" customHeight="1">
      <c r="A7" s="2">
        <v>6</v>
      </c>
      <c r="B7" s="2" t="s">
        <v>718</v>
      </c>
      <c r="C7" s="90" t="s">
        <v>719</v>
      </c>
    </row>
    <row r="8" spans="1:3" ht="15.75" customHeight="1">
      <c r="A8" s="2">
        <v>7</v>
      </c>
      <c r="B8" s="2" t="s">
        <v>720</v>
      </c>
      <c r="C8" s="90" t="s">
        <v>721</v>
      </c>
    </row>
    <row r="9" spans="1:3" ht="15.75" customHeight="1">
      <c r="A9" s="2">
        <v>8</v>
      </c>
      <c r="B9" s="2" t="s">
        <v>722</v>
      </c>
      <c r="C9" s="90" t="s">
        <v>723</v>
      </c>
    </row>
    <row r="10" spans="1:3" ht="15.75" customHeight="1">
      <c r="A10" s="2">
        <v>9</v>
      </c>
      <c r="B10" s="2" t="s">
        <v>215</v>
      </c>
      <c r="C10" s="90" t="s">
        <v>216</v>
      </c>
    </row>
    <row r="11" spans="1:3" ht="15.75" customHeight="1">
      <c r="A11" s="2">
        <v>10</v>
      </c>
      <c r="B11" s="2" t="s">
        <v>84</v>
      </c>
      <c r="C11" s="90" t="s">
        <v>85</v>
      </c>
    </row>
    <row r="12" spans="1:3" ht="15.75" customHeight="1">
      <c r="A12" s="2">
        <v>11</v>
      </c>
      <c r="B12" s="2" t="s">
        <v>288</v>
      </c>
      <c r="C12" s="90" t="s">
        <v>724</v>
      </c>
    </row>
    <row r="13" spans="1:3" ht="15.75" customHeight="1">
      <c r="A13" s="2">
        <v>12</v>
      </c>
      <c r="B13" s="2" t="s">
        <v>725</v>
      </c>
      <c r="C13" s="90" t="s">
        <v>727</v>
      </c>
    </row>
    <row r="14" spans="1:3" ht="15.75" customHeight="1">
      <c r="A14" s="2">
        <v>13</v>
      </c>
      <c r="B14" s="2" t="s">
        <v>729</v>
      </c>
      <c r="C14" s="90" t="s">
        <v>730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B14"/>
  <sheetViews>
    <sheetView workbookViewId="0"/>
  </sheetViews>
  <sheetFormatPr baseColWidth="10" defaultColWidth="14.5" defaultRowHeight="15.75" customHeight="1"/>
  <cols>
    <col min="2" max="2" width="92.6640625" customWidth="1"/>
  </cols>
  <sheetData>
    <row r="1" spans="1:2" ht="15.75" customHeight="1">
      <c r="A1" s="7" t="s">
        <v>1</v>
      </c>
      <c r="B1" s="7" t="s">
        <v>736</v>
      </c>
    </row>
    <row r="2" spans="1:2" ht="15.75" customHeight="1">
      <c r="A2" s="100" t="s">
        <v>707</v>
      </c>
      <c r="B2" s="101" t="s">
        <v>737</v>
      </c>
    </row>
    <row r="3" spans="1:2" ht="15.75" customHeight="1">
      <c r="A3" s="100" t="s">
        <v>709</v>
      </c>
      <c r="B3" s="101" t="s">
        <v>740</v>
      </c>
    </row>
    <row r="4" spans="1:2" ht="15.75" customHeight="1">
      <c r="A4" s="100" t="s">
        <v>711</v>
      </c>
      <c r="B4" s="101" t="s">
        <v>741</v>
      </c>
    </row>
    <row r="5" spans="1:2" ht="15.75" customHeight="1">
      <c r="A5" s="100" t="s">
        <v>713</v>
      </c>
      <c r="B5" s="101" t="s">
        <v>742</v>
      </c>
    </row>
    <row r="6" spans="1:2" ht="15.75" customHeight="1">
      <c r="A6" s="100" t="s">
        <v>715</v>
      </c>
      <c r="B6" s="101" t="s">
        <v>743</v>
      </c>
    </row>
    <row r="7" spans="1:2" ht="15.75" customHeight="1">
      <c r="A7" s="100" t="s">
        <v>718</v>
      </c>
      <c r="B7" s="102" t="s">
        <v>744</v>
      </c>
    </row>
    <row r="8" spans="1:2" ht="15.75" customHeight="1">
      <c r="A8" s="100" t="s">
        <v>720</v>
      </c>
      <c r="B8" s="102" t="s">
        <v>747</v>
      </c>
    </row>
    <row r="9" spans="1:2" ht="15.75" customHeight="1">
      <c r="A9" s="100" t="s">
        <v>722</v>
      </c>
      <c r="B9" s="101" t="s">
        <v>748</v>
      </c>
    </row>
    <row r="10" spans="1:2" ht="15.75" customHeight="1">
      <c r="A10" s="100" t="s">
        <v>215</v>
      </c>
      <c r="B10" s="101" t="s">
        <v>749</v>
      </c>
    </row>
    <row r="11" spans="1:2" ht="15.75" customHeight="1">
      <c r="A11" s="100" t="s">
        <v>84</v>
      </c>
      <c r="B11" s="101" t="s">
        <v>750</v>
      </c>
    </row>
    <row r="12" spans="1:2" ht="15.75" customHeight="1">
      <c r="A12" s="100" t="s">
        <v>288</v>
      </c>
      <c r="B12" s="102" t="s">
        <v>751</v>
      </c>
    </row>
    <row r="13" spans="1:2" ht="15.75" customHeight="1">
      <c r="A13" s="100" t="s">
        <v>725</v>
      </c>
      <c r="B13" s="102" t="s">
        <v>752</v>
      </c>
    </row>
    <row r="14" spans="1:2" ht="15.75" customHeight="1">
      <c r="A14" s="100" t="s">
        <v>729</v>
      </c>
      <c r="B14" s="102" t="s">
        <v>754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B80"/>
  <sheetViews>
    <sheetView workbookViewId="0"/>
  </sheetViews>
  <sheetFormatPr baseColWidth="10" defaultColWidth="14.5" defaultRowHeight="15.75" customHeight="1"/>
  <cols>
    <col min="2" max="2" width="25.1640625" customWidth="1"/>
  </cols>
  <sheetData>
    <row r="1" spans="1:2" ht="15.75" customHeight="1">
      <c r="A1" s="7" t="s">
        <v>1</v>
      </c>
      <c r="B1" s="7" t="s">
        <v>736</v>
      </c>
    </row>
    <row r="2" spans="1:2" ht="15.75" customHeight="1">
      <c r="A2" s="100" t="s">
        <v>86</v>
      </c>
      <c r="B2" s="101" t="s">
        <v>761</v>
      </c>
    </row>
    <row r="3" spans="1:2" ht="15.75" customHeight="1">
      <c r="A3" s="100" t="s">
        <v>206</v>
      </c>
      <c r="B3" s="101" t="s">
        <v>762</v>
      </c>
    </row>
    <row r="4" spans="1:2" ht="15.75" customHeight="1">
      <c r="A4" s="100" t="s">
        <v>213</v>
      </c>
      <c r="B4" s="101" t="s">
        <v>763</v>
      </c>
    </row>
    <row r="5" spans="1:2" ht="15.75" customHeight="1">
      <c r="A5" s="100" t="s">
        <v>217</v>
      </c>
      <c r="B5" s="102" t="s">
        <v>764</v>
      </c>
    </row>
    <row r="6" spans="1:2" ht="15.75" customHeight="1">
      <c r="A6" s="100" t="s">
        <v>256</v>
      </c>
      <c r="B6" s="101" t="s">
        <v>765</v>
      </c>
    </row>
    <row r="7" spans="1:2" ht="15.75" customHeight="1">
      <c r="A7" s="100" t="s">
        <v>766</v>
      </c>
      <c r="B7" s="102" t="s">
        <v>767</v>
      </c>
    </row>
    <row r="8" spans="1:2" ht="15.75" customHeight="1">
      <c r="A8" s="100" t="s">
        <v>768</v>
      </c>
      <c r="B8" s="102" t="s">
        <v>769</v>
      </c>
    </row>
    <row r="9" spans="1:2" ht="15.75" customHeight="1">
      <c r="A9" s="100" t="s">
        <v>770</v>
      </c>
      <c r="B9" s="101" t="s">
        <v>771</v>
      </c>
    </row>
    <row r="10" spans="1:2" ht="15.75" customHeight="1">
      <c r="A10" s="100" t="s">
        <v>772</v>
      </c>
      <c r="B10" s="102" t="s">
        <v>773</v>
      </c>
    </row>
    <row r="11" spans="1:2" ht="15.75" customHeight="1">
      <c r="A11" s="100" t="s">
        <v>774</v>
      </c>
      <c r="B11" s="101" t="s">
        <v>775</v>
      </c>
    </row>
    <row r="12" spans="1:2" ht="15.75" customHeight="1">
      <c r="A12" s="100" t="s">
        <v>776</v>
      </c>
      <c r="B12" s="102" t="s">
        <v>777</v>
      </c>
    </row>
    <row r="13" spans="1:2" ht="15.75" customHeight="1">
      <c r="A13" s="100" t="s">
        <v>778</v>
      </c>
      <c r="B13" s="102" t="s">
        <v>779</v>
      </c>
    </row>
    <row r="14" spans="1:2" ht="15.75" customHeight="1">
      <c r="A14" s="100" t="s">
        <v>780</v>
      </c>
      <c r="B14" s="102" t="s">
        <v>781</v>
      </c>
    </row>
    <row r="15" spans="1:2" ht="15.75" customHeight="1">
      <c r="A15" s="100" t="s">
        <v>782</v>
      </c>
      <c r="B15" s="101" t="s">
        <v>783</v>
      </c>
    </row>
    <row r="16" spans="1:2" ht="15.75" customHeight="1">
      <c r="A16" s="100" t="s">
        <v>784</v>
      </c>
      <c r="B16" s="101" t="s">
        <v>785</v>
      </c>
    </row>
    <row r="17" spans="1:2" ht="15.75" customHeight="1">
      <c r="A17" s="100" t="s">
        <v>786</v>
      </c>
      <c r="B17" s="101" t="s">
        <v>787</v>
      </c>
    </row>
    <row r="18" spans="1:2" ht="15.75" customHeight="1">
      <c r="A18" s="100" t="s">
        <v>788</v>
      </c>
      <c r="B18" s="101" t="s">
        <v>789</v>
      </c>
    </row>
    <row r="19" spans="1:2" ht="15.75" customHeight="1">
      <c r="A19" s="100" t="s">
        <v>790</v>
      </c>
      <c r="B19" s="101" t="s">
        <v>791</v>
      </c>
    </row>
    <row r="20" spans="1:2" ht="15.75" customHeight="1">
      <c r="A20" s="100" t="s">
        <v>792</v>
      </c>
      <c r="B20" s="101" t="s">
        <v>794</v>
      </c>
    </row>
    <row r="21" spans="1:2" ht="15.75" customHeight="1">
      <c r="A21" s="100" t="s">
        <v>795</v>
      </c>
      <c r="B21" s="101" t="s">
        <v>796</v>
      </c>
    </row>
    <row r="22" spans="1:2" ht="15.75" customHeight="1">
      <c r="A22" s="100" t="s">
        <v>798</v>
      </c>
      <c r="B22" s="101" t="s">
        <v>799</v>
      </c>
    </row>
    <row r="23" spans="1:2" ht="13">
      <c r="A23" s="100" t="s">
        <v>800</v>
      </c>
      <c r="B23" s="102" t="s">
        <v>801</v>
      </c>
    </row>
    <row r="24" spans="1:2" ht="13">
      <c r="A24" s="100" t="s">
        <v>802</v>
      </c>
      <c r="B24" s="102" t="s">
        <v>803</v>
      </c>
    </row>
    <row r="25" spans="1:2" ht="13">
      <c r="A25" s="100" t="s">
        <v>804</v>
      </c>
      <c r="B25" s="101" t="s">
        <v>805</v>
      </c>
    </row>
    <row r="26" spans="1:2" ht="13">
      <c r="A26" s="100" t="s">
        <v>806</v>
      </c>
      <c r="B26" s="101" t="s">
        <v>807</v>
      </c>
    </row>
    <row r="27" spans="1:2" ht="13">
      <c r="A27" s="100" t="s">
        <v>808</v>
      </c>
      <c r="B27" s="102" t="s">
        <v>809</v>
      </c>
    </row>
    <row r="28" spans="1:2" ht="13">
      <c r="A28" s="100" t="s">
        <v>810</v>
      </c>
      <c r="B28" s="102" t="s">
        <v>811</v>
      </c>
    </row>
    <row r="29" spans="1:2" ht="13">
      <c r="A29" s="100" t="s">
        <v>812</v>
      </c>
      <c r="B29" s="101" t="s">
        <v>813</v>
      </c>
    </row>
    <row r="30" spans="1:2" ht="13">
      <c r="A30" s="100" t="s">
        <v>814</v>
      </c>
      <c r="B30" s="101" t="s">
        <v>815</v>
      </c>
    </row>
    <row r="31" spans="1:2" ht="13">
      <c r="A31" s="100" t="s">
        <v>816</v>
      </c>
      <c r="B31" s="101" t="s">
        <v>817</v>
      </c>
    </row>
    <row r="32" spans="1:2" ht="13">
      <c r="A32" s="100" t="s">
        <v>818</v>
      </c>
      <c r="B32" s="101" t="s">
        <v>819</v>
      </c>
    </row>
    <row r="33" spans="1:2" ht="13">
      <c r="A33" s="100" t="s">
        <v>820</v>
      </c>
      <c r="B33" s="101" t="s">
        <v>821</v>
      </c>
    </row>
    <row r="34" spans="1:2" ht="13">
      <c r="A34" s="100" t="s">
        <v>822</v>
      </c>
      <c r="B34" s="102" t="s">
        <v>823</v>
      </c>
    </row>
    <row r="35" spans="1:2" ht="13">
      <c r="A35" s="100" t="s">
        <v>824</v>
      </c>
      <c r="B35" s="101" t="s">
        <v>825</v>
      </c>
    </row>
    <row r="36" spans="1:2" ht="13">
      <c r="A36" s="100" t="s">
        <v>826</v>
      </c>
      <c r="B36" s="101" t="s">
        <v>827</v>
      </c>
    </row>
    <row r="37" spans="1:2" ht="13">
      <c r="A37" s="100" t="s">
        <v>299</v>
      </c>
      <c r="B37" s="102" t="s">
        <v>828</v>
      </c>
    </row>
    <row r="38" spans="1:2" ht="13">
      <c r="A38" s="100" t="s">
        <v>829</v>
      </c>
      <c r="B38" s="102" t="s">
        <v>830</v>
      </c>
    </row>
    <row r="39" spans="1:2" ht="13">
      <c r="A39" s="100" t="s">
        <v>831</v>
      </c>
      <c r="B39" s="102" t="s">
        <v>832</v>
      </c>
    </row>
    <row r="40" spans="1:2" ht="13">
      <c r="A40" s="100" t="s">
        <v>289</v>
      </c>
      <c r="B40" s="102" t="s">
        <v>833</v>
      </c>
    </row>
    <row r="41" spans="1:2" ht="13">
      <c r="A41" s="100" t="s">
        <v>501</v>
      </c>
      <c r="B41" s="101" t="s">
        <v>834</v>
      </c>
    </row>
    <row r="42" spans="1:2" ht="13">
      <c r="A42" s="100" t="s">
        <v>733</v>
      </c>
      <c r="B42" s="102" t="s">
        <v>835</v>
      </c>
    </row>
    <row r="43" spans="1:2" ht="13">
      <c r="A43" s="100" t="s">
        <v>836</v>
      </c>
      <c r="B43" s="102" t="s">
        <v>837</v>
      </c>
    </row>
    <row r="44" spans="1:2" ht="13">
      <c r="A44" s="100" t="s">
        <v>838</v>
      </c>
      <c r="B44" s="102" t="s">
        <v>839</v>
      </c>
    </row>
    <row r="45" spans="1:2" ht="13">
      <c r="A45" s="100" t="s">
        <v>840</v>
      </c>
      <c r="B45" s="102" t="s">
        <v>841</v>
      </c>
    </row>
    <row r="46" spans="1:2" ht="13">
      <c r="A46" s="100" t="s">
        <v>842</v>
      </c>
      <c r="B46" s="101" t="s">
        <v>843</v>
      </c>
    </row>
    <row r="47" spans="1:2" ht="13">
      <c r="A47" s="100" t="s">
        <v>844</v>
      </c>
      <c r="B47" s="102" t="s">
        <v>845</v>
      </c>
    </row>
    <row r="48" spans="1:2" ht="13">
      <c r="A48" s="100" t="s">
        <v>846</v>
      </c>
      <c r="B48" s="102" t="s">
        <v>847</v>
      </c>
    </row>
    <row r="49" spans="1:2" ht="13">
      <c r="A49" s="100" t="s">
        <v>848</v>
      </c>
      <c r="B49" s="102" t="s">
        <v>849</v>
      </c>
    </row>
    <row r="50" spans="1:2" ht="13">
      <c r="A50" s="100" t="s">
        <v>851</v>
      </c>
      <c r="B50" s="102" t="s">
        <v>852</v>
      </c>
    </row>
    <row r="51" spans="1:2" ht="13">
      <c r="A51" s="100" t="s">
        <v>854</v>
      </c>
      <c r="B51" s="102" t="s">
        <v>855</v>
      </c>
    </row>
    <row r="52" spans="1:2" ht="13">
      <c r="A52" s="100" t="s">
        <v>856</v>
      </c>
      <c r="B52" s="102" t="s">
        <v>857</v>
      </c>
    </row>
    <row r="53" spans="1:2" ht="13">
      <c r="A53" s="100" t="s">
        <v>858</v>
      </c>
      <c r="B53" s="102" t="s">
        <v>859</v>
      </c>
    </row>
    <row r="54" spans="1:2" ht="13">
      <c r="A54" s="100" t="s">
        <v>860</v>
      </c>
      <c r="B54" s="102" t="s">
        <v>861</v>
      </c>
    </row>
    <row r="55" spans="1:2" ht="13">
      <c r="A55" s="100" t="s">
        <v>862</v>
      </c>
      <c r="B55" s="102" t="s">
        <v>863</v>
      </c>
    </row>
    <row r="56" spans="1:2" ht="13">
      <c r="A56" s="100" t="s">
        <v>864</v>
      </c>
      <c r="B56" s="102" t="s">
        <v>866</v>
      </c>
    </row>
    <row r="57" spans="1:2" ht="13">
      <c r="A57" s="100" t="s">
        <v>867</v>
      </c>
      <c r="B57" s="102" t="s">
        <v>868</v>
      </c>
    </row>
    <row r="58" spans="1:2" ht="13">
      <c r="A58" s="100" t="s">
        <v>869</v>
      </c>
      <c r="B58" s="101" t="s">
        <v>870</v>
      </c>
    </row>
    <row r="59" spans="1:2" ht="13">
      <c r="A59" s="100" t="s">
        <v>871</v>
      </c>
      <c r="B59" s="102" t="s">
        <v>872</v>
      </c>
    </row>
    <row r="60" spans="1:2" ht="13">
      <c r="A60" s="100" t="s">
        <v>873</v>
      </c>
      <c r="B60" s="101" t="s">
        <v>874</v>
      </c>
    </row>
    <row r="61" spans="1:2" ht="13">
      <c r="A61" s="100" t="s">
        <v>875</v>
      </c>
      <c r="B61" s="102" t="s">
        <v>876</v>
      </c>
    </row>
    <row r="62" spans="1:2" ht="13">
      <c r="A62" s="100" t="s">
        <v>877</v>
      </c>
      <c r="B62" s="102" t="s">
        <v>878</v>
      </c>
    </row>
    <row r="63" spans="1:2" ht="13">
      <c r="A63" s="100" t="s">
        <v>879</v>
      </c>
      <c r="B63" s="102" t="s">
        <v>880</v>
      </c>
    </row>
    <row r="64" spans="1:2" ht="13">
      <c r="A64" s="100" t="s">
        <v>881</v>
      </c>
      <c r="B64" s="102" t="s">
        <v>882</v>
      </c>
    </row>
    <row r="65" spans="1:2" ht="13">
      <c r="A65" s="100" t="s">
        <v>883</v>
      </c>
      <c r="B65" s="101" t="s">
        <v>884</v>
      </c>
    </row>
    <row r="66" spans="1:2" ht="13">
      <c r="A66" s="100" t="s">
        <v>886</v>
      </c>
      <c r="B66" s="101" t="s">
        <v>887</v>
      </c>
    </row>
    <row r="67" spans="1:2" ht="13">
      <c r="A67" s="100" t="s">
        <v>889</v>
      </c>
      <c r="B67" s="101" t="s">
        <v>890</v>
      </c>
    </row>
    <row r="68" spans="1:2" ht="13">
      <c r="A68" s="100" t="s">
        <v>891</v>
      </c>
      <c r="B68" s="101" t="s">
        <v>892</v>
      </c>
    </row>
    <row r="69" spans="1:2" ht="13">
      <c r="A69" s="100" t="s">
        <v>893</v>
      </c>
      <c r="B69" s="102" t="s">
        <v>894</v>
      </c>
    </row>
    <row r="70" spans="1:2" ht="13">
      <c r="A70" s="100" t="s">
        <v>895</v>
      </c>
      <c r="B70" s="101" t="s">
        <v>896</v>
      </c>
    </row>
    <row r="71" spans="1:2" ht="13">
      <c r="A71" s="100" t="s">
        <v>897</v>
      </c>
      <c r="B71" s="101" t="s">
        <v>898</v>
      </c>
    </row>
    <row r="72" spans="1:2" ht="13">
      <c r="A72" s="100" t="s">
        <v>899</v>
      </c>
      <c r="B72" s="101" t="s">
        <v>900</v>
      </c>
    </row>
    <row r="73" spans="1:2" ht="13">
      <c r="A73" s="100" t="s">
        <v>901</v>
      </c>
      <c r="B73" s="102" t="s">
        <v>902</v>
      </c>
    </row>
    <row r="74" spans="1:2" ht="13">
      <c r="A74" s="100" t="s">
        <v>903</v>
      </c>
      <c r="B74" s="101" t="s">
        <v>904</v>
      </c>
    </row>
    <row r="75" spans="1:2" ht="13">
      <c r="A75" s="100" t="s">
        <v>905</v>
      </c>
      <c r="B75" s="102" t="s">
        <v>906</v>
      </c>
    </row>
    <row r="76" spans="1:2" ht="13">
      <c r="A76" s="100" t="s">
        <v>907</v>
      </c>
      <c r="B76" s="102" t="s">
        <v>908</v>
      </c>
    </row>
    <row r="77" spans="1:2" ht="13">
      <c r="A77" s="100" t="s">
        <v>909</v>
      </c>
      <c r="B77" s="102" t="s">
        <v>911</v>
      </c>
    </row>
    <row r="78" spans="1:2" ht="13">
      <c r="A78" s="100" t="s">
        <v>912</v>
      </c>
      <c r="B78" s="101" t="s">
        <v>914</v>
      </c>
    </row>
    <row r="79" spans="1:2" ht="13">
      <c r="A79" s="100" t="s">
        <v>916</v>
      </c>
      <c r="B79" s="102" t="s">
        <v>917</v>
      </c>
    </row>
    <row r="80" spans="1:2" ht="13">
      <c r="A80" s="100" t="s">
        <v>918</v>
      </c>
      <c r="B80" s="102" t="s">
        <v>919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B993"/>
  <sheetViews>
    <sheetView workbookViewId="0"/>
  </sheetViews>
  <sheetFormatPr baseColWidth="10" defaultColWidth="14.5" defaultRowHeight="15.75" customHeight="1"/>
  <cols>
    <col min="1" max="1" width="4.6640625" customWidth="1"/>
    <col min="2" max="2" width="24.83203125" customWidth="1"/>
  </cols>
  <sheetData>
    <row r="1" spans="1:2" ht="15.75" customHeight="1">
      <c r="A1" s="103" t="s">
        <v>1</v>
      </c>
      <c r="B1" s="7" t="s">
        <v>736</v>
      </c>
    </row>
    <row r="2" spans="1:2" ht="15.75" customHeight="1">
      <c r="A2" s="103" t="s">
        <v>92</v>
      </c>
      <c r="B2" s="80" t="s">
        <v>926</v>
      </c>
    </row>
    <row r="3" spans="1:2" ht="15.75" customHeight="1">
      <c r="A3" s="103" t="s">
        <v>102</v>
      </c>
      <c r="B3" s="104" t="s">
        <v>927</v>
      </c>
    </row>
    <row r="4" spans="1:2" ht="15.75" customHeight="1">
      <c r="A4" s="103" t="s">
        <v>101</v>
      </c>
      <c r="B4" s="104" t="s">
        <v>928</v>
      </c>
    </row>
    <row r="5" spans="1:2" ht="15.75" customHeight="1">
      <c r="A5" s="103" t="s">
        <v>247</v>
      </c>
      <c r="B5" s="104" t="s">
        <v>929</v>
      </c>
    </row>
    <row r="6" spans="1:2" ht="15.75" customHeight="1">
      <c r="A6" s="103" t="s">
        <v>212</v>
      </c>
      <c r="B6" s="104" t="s">
        <v>930</v>
      </c>
    </row>
    <row r="7" spans="1:2" ht="15.75" customHeight="1">
      <c r="A7" s="103" t="s">
        <v>100</v>
      </c>
      <c r="B7" s="104" t="s">
        <v>931</v>
      </c>
    </row>
    <row r="8" spans="1:2" ht="15.75" customHeight="1">
      <c r="A8" s="103" t="s">
        <v>91</v>
      </c>
      <c r="B8" s="104" t="s">
        <v>932</v>
      </c>
    </row>
    <row r="9" spans="1:2" ht="15.75" customHeight="1">
      <c r="A9" s="103" t="s">
        <v>267</v>
      </c>
      <c r="B9" s="104" t="s">
        <v>933</v>
      </c>
    </row>
    <row r="10" spans="1:2" ht="15.75" customHeight="1">
      <c r="A10" s="103" t="s">
        <v>93</v>
      </c>
      <c r="B10" s="104" t="s">
        <v>934</v>
      </c>
    </row>
    <row r="11" spans="1:2" ht="15.75" customHeight="1">
      <c r="A11" s="103" t="s">
        <v>249</v>
      </c>
      <c r="B11" s="104" t="s">
        <v>935</v>
      </c>
    </row>
    <row r="12" spans="1:2" ht="15.75" customHeight="1">
      <c r="A12" s="103" t="s">
        <v>936</v>
      </c>
      <c r="B12" s="104" t="s">
        <v>937</v>
      </c>
    </row>
    <row r="13" spans="1:2" ht="15.75" customHeight="1">
      <c r="A13" s="103" t="s">
        <v>227</v>
      </c>
      <c r="B13" s="104" t="s">
        <v>938</v>
      </c>
    </row>
    <row r="14" spans="1:2" ht="15.75" customHeight="1">
      <c r="A14" s="103" t="s">
        <v>939</v>
      </c>
      <c r="B14" s="104" t="s">
        <v>940</v>
      </c>
    </row>
    <row r="15" spans="1:2" ht="15.75" customHeight="1">
      <c r="A15" s="103" t="s">
        <v>941</v>
      </c>
      <c r="B15" s="104" t="s">
        <v>942</v>
      </c>
    </row>
    <row r="16" spans="1:2" ht="15.75" customHeight="1">
      <c r="A16" s="103" t="s">
        <v>943</v>
      </c>
      <c r="B16" s="104" t="s">
        <v>944</v>
      </c>
    </row>
    <row r="17" spans="1:2" ht="15.75" customHeight="1">
      <c r="A17" s="103" t="s">
        <v>945</v>
      </c>
      <c r="B17" s="104" t="s">
        <v>946</v>
      </c>
    </row>
    <row r="18" spans="1:2" ht="15.75" customHeight="1">
      <c r="A18" s="103" t="s">
        <v>947</v>
      </c>
      <c r="B18" s="104" t="s">
        <v>948</v>
      </c>
    </row>
    <row r="19" spans="1:2" ht="15.75" customHeight="1">
      <c r="A19" s="103" t="s">
        <v>610</v>
      </c>
      <c r="B19" s="104" t="s">
        <v>949</v>
      </c>
    </row>
    <row r="20" spans="1:2" ht="15.75" customHeight="1">
      <c r="A20" s="103" t="s">
        <v>950</v>
      </c>
      <c r="B20" s="104" t="s">
        <v>951</v>
      </c>
    </row>
    <row r="21" spans="1:2" ht="15.75" customHeight="1">
      <c r="A21" s="103" t="s">
        <v>261</v>
      </c>
      <c r="B21" s="104" t="s">
        <v>953</v>
      </c>
    </row>
    <row r="22" spans="1:2" ht="15.75" customHeight="1">
      <c r="A22" s="103" t="s">
        <v>955</v>
      </c>
      <c r="B22" s="104" t="s">
        <v>956</v>
      </c>
    </row>
    <row r="23" spans="1:2" ht="14">
      <c r="A23" s="103" t="s">
        <v>957</v>
      </c>
      <c r="B23" s="104" t="s">
        <v>958</v>
      </c>
    </row>
    <row r="24" spans="1:2" ht="14">
      <c r="A24" s="103" t="s">
        <v>959</v>
      </c>
      <c r="B24" s="104" t="s">
        <v>960</v>
      </c>
    </row>
    <row r="25" spans="1:2" ht="28">
      <c r="A25" s="103" t="s">
        <v>961</v>
      </c>
      <c r="B25" s="104" t="s">
        <v>962</v>
      </c>
    </row>
    <row r="26" spans="1:2" ht="28">
      <c r="A26" s="103" t="s">
        <v>963</v>
      </c>
      <c r="B26" s="104" t="s">
        <v>964</v>
      </c>
    </row>
    <row r="27" spans="1:2" ht="14">
      <c r="A27" s="103" t="s">
        <v>965</v>
      </c>
      <c r="B27" s="104" t="s">
        <v>966</v>
      </c>
    </row>
    <row r="28" spans="1:2" ht="14">
      <c r="A28" s="103" t="s">
        <v>967</v>
      </c>
      <c r="B28" s="104" t="s">
        <v>968</v>
      </c>
    </row>
    <row r="29" spans="1:2" ht="14">
      <c r="A29" s="103" t="s">
        <v>969</v>
      </c>
      <c r="B29" s="104" t="s">
        <v>970</v>
      </c>
    </row>
    <row r="30" spans="1:2" ht="14">
      <c r="A30" s="103" t="s">
        <v>971</v>
      </c>
      <c r="B30" s="104" t="s">
        <v>972</v>
      </c>
    </row>
    <row r="31" spans="1:2" ht="28">
      <c r="A31" s="103" t="s">
        <v>973</v>
      </c>
      <c r="B31" s="104" t="s">
        <v>974</v>
      </c>
    </row>
    <row r="32" spans="1:2" ht="14">
      <c r="A32" s="103" t="s">
        <v>975</v>
      </c>
      <c r="B32" s="104" t="s">
        <v>976</v>
      </c>
    </row>
    <row r="33" spans="1:2" ht="56">
      <c r="A33" s="103" t="s">
        <v>977</v>
      </c>
      <c r="B33" s="104" t="s">
        <v>978</v>
      </c>
    </row>
    <row r="34" spans="1:2" ht="42">
      <c r="A34" s="103" t="s">
        <v>979</v>
      </c>
      <c r="B34" s="104" t="s">
        <v>980</v>
      </c>
    </row>
    <row r="35" spans="1:2" ht="56">
      <c r="A35" s="103" t="s">
        <v>981</v>
      </c>
      <c r="B35" s="104" t="s">
        <v>982</v>
      </c>
    </row>
    <row r="36" spans="1:2" ht="28">
      <c r="A36" s="103" t="s">
        <v>983</v>
      </c>
      <c r="B36" s="104" t="s">
        <v>984</v>
      </c>
    </row>
    <row r="37" spans="1:2" ht="14">
      <c r="A37" s="103" t="s">
        <v>985</v>
      </c>
      <c r="B37" s="104" t="s">
        <v>986</v>
      </c>
    </row>
    <row r="38" spans="1:2" ht="42">
      <c r="A38" s="103" t="s">
        <v>987</v>
      </c>
      <c r="B38" s="104" t="s">
        <v>988</v>
      </c>
    </row>
    <row r="39" spans="1:2" ht="28">
      <c r="A39" s="103" t="s">
        <v>989</v>
      </c>
      <c r="B39" s="104" t="s">
        <v>990</v>
      </c>
    </row>
    <row r="40" spans="1:2" ht="42">
      <c r="A40" s="103" t="s">
        <v>991</v>
      </c>
      <c r="B40" s="104" t="s">
        <v>992</v>
      </c>
    </row>
    <row r="41" spans="1:2" ht="14">
      <c r="A41" s="103" t="s">
        <v>993</v>
      </c>
      <c r="B41" s="104" t="s">
        <v>994</v>
      </c>
    </row>
    <row r="42" spans="1:2" ht="14">
      <c r="A42" s="103" t="s">
        <v>995</v>
      </c>
      <c r="B42" s="104" t="s">
        <v>996</v>
      </c>
    </row>
    <row r="43" spans="1:2" ht="14">
      <c r="A43" s="103" t="s">
        <v>998</v>
      </c>
      <c r="B43" s="104" t="s">
        <v>1001</v>
      </c>
    </row>
    <row r="44" spans="1:2" ht="14">
      <c r="A44" s="103" t="s">
        <v>1002</v>
      </c>
      <c r="B44" s="104" t="s">
        <v>1003</v>
      </c>
    </row>
    <row r="45" spans="1:2" ht="13">
      <c r="A45" s="105"/>
      <c r="B45" s="80"/>
    </row>
    <row r="46" spans="1:2" ht="13">
      <c r="A46" s="105"/>
    </row>
    <row r="47" spans="1:2" ht="13">
      <c r="A47" s="105"/>
    </row>
    <row r="48" spans="1:2" ht="13">
      <c r="A48" s="105"/>
    </row>
    <row r="49" spans="1:1" ht="13">
      <c r="A49" s="105"/>
    </row>
    <row r="50" spans="1:1" ht="13">
      <c r="A50" s="105"/>
    </row>
    <row r="51" spans="1:1" ht="13">
      <c r="A51" s="105"/>
    </row>
    <row r="52" spans="1:1" ht="13">
      <c r="A52" s="105"/>
    </row>
    <row r="53" spans="1:1" ht="13">
      <c r="A53" s="105"/>
    </row>
    <row r="54" spans="1:1" ht="13">
      <c r="A54" s="105"/>
    </row>
    <row r="55" spans="1:1" ht="13">
      <c r="A55" s="105"/>
    </row>
    <row r="56" spans="1:1" ht="13">
      <c r="A56" s="105"/>
    </row>
    <row r="57" spans="1:1" ht="13">
      <c r="A57" s="105"/>
    </row>
    <row r="58" spans="1:1" ht="13">
      <c r="A58" s="105"/>
    </row>
    <row r="59" spans="1:1" ht="13">
      <c r="A59" s="105"/>
    </row>
    <row r="60" spans="1:1" ht="13">
      <c r="A60" s="105"/>
    </row>
    <row r="61" spans="1:1" ht="13">
      <c r="A61" s="105"/>
    </row>
    <row r="62" spans="1:1" ht="13">
      <c r="A62" s="105"/>
    </row>
    <row r="63" spans="1:1" ht="13">
      <c r="A63" s="105"/>
    </row>
    <row r="64" spans="1:1" ht="13">
      <c r="A64" s="105"/>
    </row>
    <row r="65" spans="1:1" ht="13">
      <c r="A65" s="105"/>
    </row>
    <row r="66" spans="1:1" ht="13">
      <c r="A66" s="105"/>
    </row>
    <row r="67" spans="1:1" ht="13">
      <c r="A67" s="105"/>
    </row>
    <row r="68" spans="1:1" ht="13">
      <c r="A68" s="105"/>
    </row>
    <row r="69" spans="1:1" ht="13">
      <c r="A69" s="105"/>
    </row>
    <row r="70" spans="1:1" ht="13">
      <c r="A70" s="105"/>
    </row>
    <row r="71" spans="1:1" ht="13">
      <c r="A71" s="105"/>
    </row>
    <row r="72" spans="1:1" ht="13">
      <c r="A72" s="105"/>
    </row>
    <row r="73" spans="1:1" ht="13">
      <c r="A73" s="105"/>
    </row>
    <row r="74" spans="1:1" ht="13">
      <c r="A74" s="105"/>
    </row>
    <row r="75" spans="1:1" ht="13">
      <c r="A75" s="105"/>
    </row>
    <row r="76" spans="1:1" ht="13">
      <c r="A76" s="105"/>
    </row>
    <row r="77" spans="1:1" ht="13">
      <c r="A77" s="105"/>
    </row>
    <row r="78" spans="1:1" ht="13">
      <c r="A78" s="105"/>
    </row>
    <row r="79" spans="1:1" ht="13">
      <c r="A79" s="105"/>
    </row>
    <row r="80" spans="1:1" ht="13">
      <c r="A80" s="105"/>
    </row>
    <row r="81" spans="1:1" ht="13">
      <c r="A81" s="105"/>
    </row>
    <row r="82" spans="1:1" ht="13">
      <c r="A82" s="105"/>
    </row>
    <row r="83" spans="1:1" ht="13">
      <c r="A83" s="105"/>
    </row>
    <row r="84" spans="1:1" ht="13">
      <c r="A84" s="105"/>
    </row>
    <row r="85" spans="1:1" ht="13">
      <c r="A85" s="105"/>
    </row>
    <row r="86" spans="1:1" ht="13">
      <c r="A86" s="105"/>
    </row>
    <row r="87" spans="1:1" ht="13">
      <c r="A87" s="105"/>
    </row>
    <row r="88" spans="1:1" ht="13">
      <c r="A88" s="105"/>
    </row>
    <row r="89" spans="1:1" ht="13">
      <c r="A89" s="105"/>
    </row>
    <row r="90" spans="1:1" ht="13">
      <c r="A90" s="105"/>
    </row>
    <row r="91" spans="1:1" ht="13">
      <c r="A91" s="105"/>
    </row>
    <row r="92" spans="1:1" ht="13">
      <c r="A92" s="105"/>
    </row>
    <row r="93" spans="1:1" ht="13">
      <c r="A93" s="105"/>
    </row>
    <row r="94" spans="1:1" ht="13">
      <c r="A94" s="105"/>
    </row>
    <row r="95" spans="1:1" ht="13">
      <c r="A95" s="105"/>
    </row>
    <row r="96" spans="1:1" ht="13">
      <c r="A96" s="105"/>
    </row>
    <row r="97" spans="1:1" ht="13">
      <c r="A97" s="105"/>
    </row>
    <row r="98" spans="1:1" ht="13">
      <c r="A98" s="105"/>
    </row>
    <row r="99" spans="1:1" ht="13">
      <c r="A99" s="105"/>
    </row>
    <row r="100" spans="1:1" ht="13">
      <c r="A100" s="105"/>
    </row>
    <row r="101" spans="1:1" ht="13">
      <c r="A101" s="105"/>
    </row>
    <row r="102" spans="1:1" ht="13">
      <c r="A102" s="105"/>
    </row>
    <row r="103" spans="1:1" ht="13">
      <c r="A103" s="105"/>
    </row>
    <row r="104" spans="1:1" ht="13">
      <c r="A104" s="105"/>
    </row>
    <row r="105" spans="1:1" ht="13">
      <c r="A105" s="105"/>
    </row>
    <row r="106" spans="1:1" ht="13">
      <c r="A106" s="105"/>
    </row>
    <row r="107" spans="1:1" ht="13">
      <c r="A107" s="105"/>
    </row>
    <row r="108" spans="1:1" ht="13">
      <c r="A108" s="105"/>
    </row>
    <row r="109" spans="1:1" ht="13">
      <c r="A109" s="105"/>
    </row>
    <row r="110" spans="1:1" ht="13">
      <c r="A110" s="105"/>
    </row>
    <row r="111" spans="1:1" ht="13">
      <c r="A111" s="105"/>
    </row>
    <row r="112" spans="1:1" ht="13">
      <c r="A112" s="105"/>
    </row>
    <row r="113" spans="1:1" ht="13">
      <c r="A113" s="105"/>
    </row>
    <row r="114" spans="1:1" ht="13">
      <c r="A114" s="105"/>
    </row>
    <row r="115" spans="1:1" ht="13">
      <c r="A115" s="105"/>
    </row>
    <row r="116" spans="1:1" ht="13">
      <c r="A116" s="105"/>
    </row>
    <row r="117" spans="1:1" ht="13">
      <c r="A117" s="105"/>
    </row>
    <row r="118" spans="1:1" ht="13">
      <c r="A118" s="105"/>
    </row>
    <row r="119" spans="1:1" ht="13">
      <c r="A119" s="105"/>
    </row>
    <row r="120" spans="1:1" ht="13">
      <c r="A120" s="105"/>
    </row>
    <row r="121" spans="1:1" ht="13">
      <c r="A121" s="105"/>
    </row>
    <row r="122" spans="1:1" ht="13">
      <c r="A122" s="105"/>
    </row>
    <row r="123" spans="1:1" ht="13">
      <c r="A123" s="105"/>
    </row>
    <row r="124" spans="1:1" ht="13">
      <c r="A124" s="105"/>
    </row>
    <row r="125" spans="1:1" ht="13">
      <c r="A125" s="105"/>
    </row>
    <row r="126" spans="1:1" ht="13">
      <c r="A126" s="105"/>
    </row>
    <row r="127" spans="1:1" ht="13">
      <c r="A127" s="105"/>
    </row>
    <row r="128" spans="1:1" ht="13">
      <c r="A128" s="105"/>
    </row>
    <row r="129" spans="1:1" ht="13">
      <c r="A129" s="105"/>
    </row>
    <row r="130" spans="1:1" ht="13">
      <c r="A130" s="105"/>
    </row>
    <row r="131" spans="1:1" ht="13">
      <c r="A131" s="105"/>
    </row>
    <row r="132" spans="1:1" ht="13">
      <c r="A132" s="105"/>
    </row>
    <row r="133" spans="1:1" ht="13">
      <c r="A133" s="105"/>
    </row>
    <row r="134" spans="1:1" ht="13">
      <c r="A134" s="105"/>
    </row>
    <row r="135" spans="1:1" ht="13">
      <c r="A135" s="105"/>
    </row>
    <row r="136" spans="1:1" ht="13">
      <c r="A136" s="105"/>
    </row>
    <row r="137" spans="1:1" ht="13">
      <c r="A137" s="105"/>
    </row>
    <row r="138" spans="1:1" ht="13">
      <c r="A138" s="105"/>
    </row>
    <row r="139" spans="1:1" ht="13">
      <c r="A139" s="105"/>
    </row>
    <row r="140" spans="1:1" ht="13">
      <c r="A140" s="105"/>
    </row>
    <row r="141" spans="1:1" ht="13">
      <c r="A141" s="105"/>
    </row>
    <row r="142" spans="1:1" ht="13">
      <c r="A142" s="105"/>
    </row>
    <row r="143" spans="1:1" ht="13">
      <c r="A143" s="105"/>
    </row>
    <row r="144" spans="1:1" ht="13">
      <c r="A144" s="105"/>
    </row>
    <row r="145" spans="1:1" ht="13">
      <c r="A145" s="105"/>
    </row>
    <row r="146" spans="1:1" ht="13">
      <c r="A146" s="105"/>
    </row>
    <row r="147" spans="1:1" ht="13">
      <c r="A147" s="105"/>
    </row>
    <row r="148" spans="1:1" ht="13">
      <c r="A148" s="105"/>
    </row>
    <row r="149" spans="1:1" ht="13">
      <c r="A149" s="105"/>
    </row>
    <row r="150" spans="1:1" ht="13">
      <c r="A150" s="105"/>
    </row>
    <row r="151" spans="1:1" ht="13">
      <c r="A151" s="105"/>
    </row>
    <row r="152" spans="1:1" ht="13">
      <c r="A152" s="105"/>
    </row>
    <row r="153" spans="1:1" ht="13">
      <c r="A153" s="105"/>
    </row>
    <row r="154" spans="1:1" ht="13">
      <c r="A154" s="105"/>
    </row>
    <row r="155" spans="1:1" ht="13">
      <c r="A155" s="105"/>
    </row>
    <row r="156" spans="1:1" ht="13">
      <c r="A156" s="105"/>
    </row>
    <row r="157" spans="1:1" ht="13">
      <c r="A157" s="105"/>
    </row>
    <row r="158" spans="1:1" ht="13">
      <c r="A158" s="105"/>
    </row>
    <row r="159" spans="1:1" ht="13">
      <c r="A159" s="105"/>
    </row>
    <row r="160" spans="1:1" ht="13">
      <c r="A160" s="105"/>
    </row>
    <row r="161" spans="1:1" ht="13">
      <c r="A161" s="105"/>
    </row>
    <row r="162" spans="1:1" ht="13">
      <c r="A162" s="105"/>
    </row>
    <row r="163" spans="1:1" ht="13">
      <c r="A163" s="105"/>
    </row>
    <row r="164" spans="1:1" ht="13">
      <c r="A164" s="105"/>
    </row>
    <row r="165" spans="1:1" ht="13">
      <c r="A165" s="105"/>
    </row>
    <row r="166" spans="1:1" ht="13">
      <c r="A166" s="105"/>
    </row>
    <row r="167" spans="1:1" ht="13">
      <c r="A167" s="105"/>
    </row>
    <row r="168" spans="1:1" ht="13">
      <c r="A168" s="105"/>
    </row>
    <row r="169" spans="1:1" ht="13">
      <c r="A169" s="105"/>
    </row>
    <row r="170" spans="1:1" ht="13">
      <c r="A170" s="105"/>
    </row>
    <row r="171" spans="1:1" ht="13">
      <c r="A171" s="105"/>
    </row>
    <row r="172" spans="1:1" ht="13">
      <c r="A172" s="105"/>
    </row>
    <row r="173" spans="1:1" ht="13">
      <c r="A173" s="105"/>
    </row>
    <row r="174" spans="1:1" ht="13">
      <c r="A174" s="105"/>
    </row>
    <row r="175" spans="1:1" ht="13">
      <c r="A175" s="105"/>
    </row>
    <row r="176" spans="1:1" ht="13">
      <c r="A176" s="105"/>
    </row>
    <row r="177" spans="1:1" ht="13">
      <c r="A177" s="105"/>
    </row>
    <row r="178" spans="1:1" ht="13">
      <c r="A178" s="105"/>
    </row>
    <row r="179" spans="1:1" ht="13">
      <c r="A179" s="105"/>
    </row>
    <row r="180" spans="1:1" ht="13">
      <c r="A180" s="105"/>
    </row>
    <row r="181" spans="1:1" ht="13">
      <c r="A181" s="105"/>
    </row>
    <row r="182" spans="1:1" ht="13">
      <c r="A182" s="105"/>
    </row>
    <row r="183" spans="1:1" ht="13">
      <c r="A183" s="105"/>
    </row>
    <row r="184" spans="1:1" ht="13">
      <c r="A184" s="105"/>
    </row>
    <row r="185" spans="1:1" ht="13">
      <c r="A185" s="105"/>
    </row>
    <row r="186" spans="1:1" ht="13">
      <c r="A186" s="105"/>
    </row>
    <row r="187" spans="1:1" ht="13">
      <c r="A187" s="105"/>
    </row>
    <row r="188" spans="1:1" ht="13">
      <c r="A188" s="105"/>
    </row>
    <row r="189" spans="1:1" ht="13">
      <c r="A189" s="105"/>
    </row>
    <row r="190" spans="1:1" ht="13">
      <c r="A190" s="105"/>
    </row>
    <row r="191" spans="1:1" ht="13">
      <c r="A191" s="105"/>
    </row>
    <row r="192" spans="1:1" ht="13">
      <c r="A192" s="105"/>
    </row>
    <row r="193" spans="1:1" ht="13">
      <c r="A193" s="105"/>
    </row>
    <row r="194" spans="1:1" ht="13">
      <c r="A194" s="105"/>
    </row>
    <row r="195" spans="1:1" ht="13">
      <c r="A195" s="105"/>
    </row>
    <row r="196" spans="1:1" ht="13">
      <c r="A196" s="105"/>
    </row>
    <row r="197" spans="1:1" ht="13">
      <c r="A197" s="105"/>
    </row>
    <row r="198" spans="1:1" ht="13">
      <c r="A198" s="105"/>
    </row>
    <row r="199" spans="1:1" ht="13">
      <c r="A199" s="105"/>
    </row>
    <row r="200" spans="1:1" ht="13">
      <c r="A200" s="105"/>
    </row>
    <row r="201" spans="1:1" ht="13">
      <c r="A201" s="105"/>
    </row>
    <row r="202" spans="1:1" ht="13">
      <c r="A202" s="105"/>
    </row>
    <row r="203" spans="1:1" ht="13">
      <c r="A203" s="105"/>
    </row>
    <row r="204" spans="1:1" ht="13">
      <c r="A204" s="105"/>
    </row>
    <row r="205" spans="1:1" ht="13">
      <c r="A205" s="105"/>
    </row>
    <row r="206" spans="1:1" ht="13">
      <c r="A206" s="105"/>
    </row>
    <row r="207" spans="1:1" ht="13">
      <c r="A207" s="105"/>
    </row>
    <row r="208" spans="1:1" ht="13">
      <c r="A208" s="105"/>
    </row>
    <row r="209" spans="1:1" ht="13">
      <c r="A209" s="105"/>
    </row>
    <row r="210" spans="1:1" ht="13">
      <c r="A210" s="105"/>
    </row>
    <row r="211" spans="1:1" ht="13">
      <c r="A211" s="105"/>
    </row>
    <row r="212" spans="1:1" ht="13">
      <c r="A212" s="105"/>
    </row>
    <row r="213" spans="1:1" ht="13">
      <c r="A213" s="105"/>
    </row>
    <row r="214" spans="1:1" ht="13">
      <c r="A214" s="105"/>
    </row>
    <row r="215" spans="1:1" ht="13">
      <c r="A215" s="105"/>
    </row>
    <row r="216" spans="1:1" ht="13">
      <c r="A216" s="105"/>
    </row>
    <row r="217" spans="1:1" ht="13">
      <c r="A217" s="105"/>
    </row>
    <row r="218" spans="1:1" ht="13">
      <c r="A218" s="105"/>
    </row>
    <row r="219" spans="1:1" ht="13">
      <c r="A219" s="105"/>
    </row>
    <row r="220" spans="1:1" ht="13">
      <c r="A220" s="105"/>
    </row>
    <row r="221" spans="1:1" ht="13">
      <c r="A221" s="105"/>
    </row>
    <row r="222" spans="1:1" ht="13">
      <c r="A222" s="105"/>
    </row>
    <row r="223" spans="1:1" ht="13">
      <c r="A223" s="105"/>
    </row>
    <row r="224" spans="1:1" ht="13">
      <c r="A224" s="105"/>
    </row>
    <row r="225" spans="1:1" ht="13">
      <c r="A225" s="105"/>
    </row>
    <row r="226" spans="1:1" ht="13">
      <c r="A226" s="105"/>
    </row>
    <row r="227" spans="1:1" ht="13">
      <c r="A227" s="105"/>
    </row>
    <row r="228" spans="1:1" ht="13">
      <c r="A228" s="105"/>
    </row>
    <row r="229" spans="1:1" ht="13">
      <c r="A229" s="105"/>
    </row>
    <row r="230" spans="1:1" ht="13">
      <c r="A230" s="105"/>
    </row>
    <row r="231" spans="1:1" ht="13">
      <c r="A231" s="105"/>
    </row>
    <row r="232" spans="1:1" ht="13">
      <c r="A232" s="105"/>
    </row>
    <row r="233" spans="1:1" ht="13">
      <c r="A233" s="105"/>
    </row>
    <row r="234" spans="1:1" ht="13">
      <c r="A234" s="105"/>
    </row>
    <row r="235" spans="1:1" ht="13">
      <c r="A235" s="105"/>
    </row>
    <row r="236" spans="1:1" ht="13">
      <c r="A236" s="105"/>
    </row>
    <row r="237" spans="1:1" ht="13">
      <c r="A237" s="105"/>
    </row>
    <row r="238" spans="1:1" ht="13">
      <c r="A238" s="105"/>
    </row>
    <row r="239" spans="1:1" ht="13">
      <c r="A239" s="105"/>
    </row>
    <row r="240" spans="1:1" ht="13">
      <c r="A240" s="105"/>
    </row>
    <row r="241" spans="1:1" ht="13">
      <c r="A241" s="105"/>
    </row>
    <row r="242" spans="1:1" ht="13">
      <c r="A242" s="105"/>
    </row>
    <row r="243" spans="1:1" ht="13">
      <c r="A243" s="105"/>
    </row>
    <row r="244" spans="1:1" ht="13">
      <c r="A244" s="105"/>
    </row>
    <row r="245" spans="1:1" ht="13">
      <c r="A245" s="105"/>
    </row>
    <row r="246" spans="1:1" ht="13">
      <c r="A246" s="105"/>
    </row>
    <row r="247" spans="1:1" ht="13">
      <c r="A247" s="105"/>
    </row>
    <row r="248" spans="1:1" ht="13">
      <c r="A248" s="105"/>
    </row>
    <row r="249" spans="1:1" ht="13">
      <c r="A249" s="105"/>
    </row>
    <row r="250" spans="1:1" ht="13">
      <c r="A250" s="105"/>
    </row>
    <row r="251" spans="1:1" ht="13">
      <c r="A251" s="105"/>
    </row>
    <row r="252" spans="1:1" ht="13">
      <c r="A252" s="105"/>
    </row>
    <row r="253" spans="1:1" ht="13">
      <c r="A253" s="105"/>
    </row>
    <row r="254" spans="1:1" ht="13">
      <c r="A254" s="105"/>
    </row>
    <row r="255" spans="1:1" ht="13">
      <c r="A255" s="105"/>
    </row>
    <row r="256" spans="1:1" ht="13">
      <c r="A256" s="105"/>
    </row>
    <row r="257" spans="1:1" ht="13">
      <c r="A257" s="105"/>
    </row>
    <row r="258" spans="1:1" ht="13">
      <c r="A258" s="105"/>
    </row>
    <row r="259" spans="1:1" ht="13">
      <c r="A259" s="105"/>
    </row>
    <row r="260" spans="1:1" ht="13">
      <c r="A260" s="105"/>
    </row>
    <row r="261" spans="1:1" ht="13">
      <c r="A261" s="105"/>
    </row>
    <row r="262" spans="1:1" ht="13">
      <c r="A262" s="105"/>
    </row>
    <row r="263" spans="1:1" ht="13">
      <c r="A263" s="105"/>
    </row>
    <row r="264" spans="1:1" ht="13">
      <c r="A264" s="105"/>
    </row>
    <row r="265" spans="1:1" ht="13">
      <c r="A265" s="105"/>
    </row>
    <row r="266" spans="1:1" ht="13">
      <c r="A266" s="105"/>
    </row>
    <row r="267" spans="1:1" ht="13">
      <c r="A267" s="105"/>
    </row>
    <row r="268" spans="1:1" ht="13">
      <c r="A268" s="105"/>
    </row>
    <row r="269" spans="1:1" ht="13">
      <c r="A269" s="105"/>
    </row>
    <row r="270" spans="1:1" ht="13">
      <c r="A270" s="105"/>
    </row>
    <row r="271" spans="1:1" ht="13">
      <c r="A271" s="105"/>
    </row>
    <row r="272" spans="1:1" ht="13">
      <c r="A272" s="105"/>
    </row>
    <row r="273" spans="1:1" ht="13">
      <c r="A273" s="105"/>
    </row>
    <row r="274" spans="1:1" ht="13">
      <c r="A274" s="105"/>
    </row>
    <row r="275" spans="1:1" ht="13">
      <c r="A275" s="105"/>
    </row>
    <row r="276" spans="1:1" ht="13">
      <c r="A276" s="105"/>
    </row>
    <row r="277" spans="1:1" ht="13">
      <c r="A277" s="105"/>
    </row>
    <row r="278" spans="1:1" ht="13">
      <c r="A278" s="105"/>
    </row>
    <row r="279" spans="1:1" ht="13">
      <c r="A279" s="105"/>
    </row>
    <row r="280" spans="1:1" ht="13">
      <c r="A280" s="105"/>
    </row>
    <row r="281" spans="1:1" ht="13">
      <c r="A281" s="105"/>
    </row>
    <row r="282" spans="1:1" ht="13">
      <c r="A282" s="105"/>
    </row>
    <row r="283" spans="1:1" ht="13">
      <c r="A283" s="105"/>
    </row>
    <row r="284" spans="1:1" ht="13">
      <c r="A284" s="105"/>
    </row>
    <row r="285" spans="1:1" ht="13">
      <c r="A285" s="105"/>
    </row>
    <row r="286" spans="1:1" ht="13">
      <c r="A286" s="105"/>
    </row>
    <row r="287" spans="1:1" ht="13">
      <c r="A287" s="105"/>
    </row>
    <row r="288" spans="1:1" ht="13">
      <c r="A288" s="105"/>
    </row>
    <row r="289" spans="1:1" ht="13">
      <c r="A289" s="105"/>
    </row>
    <row r="290" spans="1:1" ht="13">
      <c r="A290" s="105"/>
    </row>
    <row r="291" spans="1:1" ht="13">
      <c r="A291" s="105"/>
    </row>
    <row r="292" spans="1:1" ht="13">
      <c r="A292" s="105"/>
    </row>
    <row r="293" spans="1:1" ht="13">
      <c r="A293" s="105"/>
    </row>
    <row r="294" spans="1:1" ht="13">
      <c r="A294" s="105"/>
    </row>
    <row r="295" spans="1:1" ht="13">
      <c r="A295" s="105"/>
    </row>
    <row r="296" spans="1:1" ht="13">
      <c r="A296" s="105"/>
    </row>
    <row r="297" spans="1:1" ht="13">
      <c r="A297" s="105"/>
    </row>
    <row r="298" spans="1:1" ht="13">
      <c r="A298" s="105"/>
    </row>
    <row r="299" spans="1:1" ht="13">
      <c r="A299" s="105"/>
    </row>
    <row r="300" spans="1:1" ht="13">
      <c r="A300" s="105"/>
    </row>
    <row r="301" spans="1:1" ht="13">
      <c r="A301" s="105"/>
    </row>
    <row r="302" spans="1:1" ht="13">
      <c r="A302" s="105"/>
    </row>
    <row r="303" spans="1:1" ht="13">
      <c r="A303" s="105"/>
    </row>
    <row r="304" spans="1:1" ht="13">
      <c r="A304" s="105"/>
    </row>
    <row r="305" spans="1:1" ht="13">
      <c r="A305" s="105"/>
    </row>
    <row r="306" spans="1:1" ht="13">
      <c r="A306" s="105"/>
    </row>
    <row r="307" spans="1:1" ht="13">
      <c r="A307" s="105"/>
    </row>
    <row r="308" spans="1:1" ht="13">
      <c r="A308" s="105"/>
    </row>
    <row r="309" spans="1:1" ht="13">
      <c r="A309" s="105"/>
    </row>
    <row r="310" spans="1:1" ht="13">
      <c r="A310" s="105"/>
    </row>
    <row r="311" spans="1:1" ht="13">
      <c r="A311" s="105"/>
    </row>
    <row r="312" spans="1:1" ht="13">
      <c r="A312" s="105"/>
    </row>
    <row r="313" spans="1:1" ht="13">
      <c r="A313" s="105"/>
    </row>
    <row r="314" spans="1:1" ht="13">
      <c r="A314" s="105"/>
    </row>
    <row r="315" spans="1:1" ht="13">
      <c r="A315" s="105"/>
    </row>
    <row r="316" spans="1:1" ht="13">
      <c r="A316" s="105"/>
    </row>
    <row r="317" spans="1:1" ht="13">
      <c r="A317" s="105"/>
    </row>
    <row r="318" spans="1:1" ht="13">
      <c r="A318" s="105"/>
    </row>
    <row r="319" spans="1:1" ht="13">
      <c r="A319" s="105"/>
    </row>
    <row r="320" spans="1:1" ht="13">
      <c r="A320" s="105"/>
    </row>
    <row r="321" spans="1:1" ht="13">
      <c r="A321" s="105"/>
    </row>
    <row r="322" spans="1:1" ht="13">
      <c r="A322" s="105"/>
    </row>
    <row r="323" spans="1:1" ht="13">
      <c r="A323" s="105"/>
    </row>
    <row r="324" spans="1:1" ht="13">
      <c r="A324" s="105"/>
    </row>
    <row r="325" spans="1:1" ht="13">
      <c r="A325" s="105"/>
    </row>
    <row r="326" spans="1:1" ht="13">
      <c r="A326" s="105"/>
    </row>
    <row r="327" spans="1:1" ht="13">
      <c r="A327" s="105"/>
    </row>
    <row r="328" spans="1:1" ht="13">
      <c r="A328" s="105"/>
    </row>
    <row r="329" spans="1:1" ht="13">
      <c r="A329" s="105"/>
    </row>
    <row r="330" spans="1:1" ht="13">
      <c r="A330" s="105"/>
    </row>
    <row r="331" spans="1:1" ht="13">
      <c r="A331" s="105"/>
    </row>
    <row r="332" spans="1:1" ht="13">
      <c r="A332" s="105"/>
    </row>
    <row r="333" spans="1:1" ht="13">
      <c r="A333" s="105"/>
    </row>
    <row r="334" spans="1:1" ht="13">
      <c r="A334" s="105"/>
    </row>
    <row r="335" spans="1:1" ht="13">
      <c r="A335" s="105"/>
    </row>
    <row r="336" spans="1:1" ht="13">
      <c r="A336" s="105"/>
    </row>
    <row r="337" spans="1:1" ht="13">
      <c r="A337" s="105"/>
    </row>
    <row r="338" spans="1:1" ht="13">
      <c r="A338" s="105"/>
    </row>
    <row r="339" spans="1:1" ht="13">
      <c r="A339" s="105"/>
    </row>
    <row r="340" spans="1:1" ht="13">
      <c r="A340" s="105"/>
    </row>
    <row r="341" spans="1:1" ht="13">
      <c r="A341" s="105"/>
    </row>
    <row r="342" spans="1:1" ht="13">
      <c r="A342" s="105"/>
    </row>
    <row r="343" spans="1:1" ht="13">
      <c r="A343" s="105"/>
    </row>
    <row r="344" spans="1:1" ht="13">
      <c r="A344" s="105"/>
    </row>
    <row r="345" spans="1:1" ht="13">
      <c r="A345" s="105"/>
    </row>
    <row r="346" spans="1:1" ht="13">
      <c r="A346" s="105"/>
    </row>
    <row r="347" spans="1:1" ht="13">
      <c r="A347" s="105"/>
    </row>
    <row r="348" spans="1:1" ht="13">
      <c r="A348" s="105"/>
    </row>
    <row r="349" spans="1:1" ht="13">
      <c r="A349" s="105"/>
    </row>
    <row r="350" spans="1:1" ht="13">
      <c r="A350" s="105"/>
    </row>
    <row r="351" spans="1:1" ht="13">
      <c r="A351" s="105"/>
    </row>
    <row r="352" spans="1:1" ht="13">
      <c r="A352" s="105"/>
    </row>
    <row r="353" spans="1:1" ht="13">
      <c r="A353" s="105"/>
    </row>
    <row r="354" spans="1:1" ht="13">
      <c r="A354" s="105"/>
    </row>
    <row r="355" spans="1:1" ht="13">
      <c r="A355" s="105"/>
    </row>
    <row r="356" spans="1:1" ht="13">
      <c r="A356" s="105"/>
    </row>
    <row r="357" spans="1:1" ht="13">
      <c r="A357" s="105"/>
    </row>
    <row r="358" spans="1:1" ht="13">
      <c r="A358" s="105"/>
    </row>
    <row r="359" spans="1:1" ht="13">
      <c r="A359" s="105"/>
    </row>
    <row r="360" spans="1:1" ht="13">
      <c r="A360" s="105"/>
    </row>
    <row r="361" spans="1:1" ht="13">
      <c r="A361" s="105"/>
    </row>
    <row r="362" spans="1:1" ht="13">
      <c r="A362" s="105"/>
    </row>
    <row r="363" spans="1:1" ht="13">
      <c r="A363" s="105"/>
    </row>
    <row r="364" spans="1:1" ht="13">
      <c r="A364" s="105"/>
    </row>
    <row r="365" spans="1:1" ht="13">
      <c r="A365" s="105"/>
    </row>
    <row r="366" spans="1:1" ht="13">
      <c r="A366" s="105"/>
    </row>
    <row r="367" spans="1:1" ht="13">
      <c r="A367" s="105"/>
    </row>
    <row r="368" spans="1:1" ht="13">
      <c r="A368" s="105"/>
    </row>
    <row r="369" spans="1:1" ht="13">
      <c r="A369" s="105"/>
    </row>
    <row r="370" spans="1:1" ht="13">
      <c r="A370" s="105"/>
    </row>
    <row r="371" spans="1:1" ht="13">
      <c r="A371" s="105"/>
    </row>
    <row r="372" spans="1:1" ht="13">
      <c r="A372" s="105"/>
    </row>
    <row r="373" spans="1:1" ht="13">
      <c r="A373" s="105"/>
    </row>
    <row r="374" spans="1:1" ht="13">
      <c r="A374" s="105"/>
    </row>
    <row r="375" spans="1:1" ht="13">
      <c r="A375" s="105"/>
    </row>
    <row r="376" spans="1:1" ht="13">
      <c r="A376" s="105"/>
    </row>
    <row r="377" spans="1:1" ht="13">
      <c r="A377" s="105"/>
    </row>
    <row r="378" spans="1:1" ht="13">
      <c r="A378" s="105"/>
    </row>
    <row r="379" spans="1:1" ht="13">
      <c r="A379" s="105"/>
    </row>
    <row r="380" spans="1:1" ht="13">
      <c r="A380" s="105"/>
    </row>
    <row r="381" spans="1:1" ht="13">
      <c r="A381" s="105"/>
    </row>
    <row r="382" spans="1:1" ht="13">
      <c r="A382" s="105"/>
    </row>
    <row r="383" spans="1:1" ht="13">
      <c r="A383" s="105"/>
    </row>
    <row r="384" spans="1:1" ht="13">
      <c r="A384" s="105"/>
    </row>
    <row r="385" spans="1:1" ht="13">
      <c r="A385" s="105"/>
    </row>
    <row r="386" spans="1:1" ht="13">
      <c r="A386" s="105"/>
    </row>
    <row r="387" spans="1:1" ht="13">
      <c r="A387" s="105"/>
    </row>
    <row r="388" spans="1:1" ht="13">
      <c r="A388" s="105"/>
    </row>
    <row r="389" spans="1:1" ht="13">
      <c r="A389" s="105"/>
    </row>
    <row r="390" spans="1:1" ht="13">
      <c r="A390" s="105"/>
    </row>
    <row r="391" spans="1:1" ht="13">
      <c r="A391" s="105"/>
    </row>
    <row r="392" spans="1:1" ht="13">
      <c r="A392" s="105"/>
    </row>
    <row r="393" spans="1:1" ht="13">
      <c r="A393" s="105"/>
    </row>
    <row r="394" spans="1:1" ht="13">
      <c r="A394" s="105"/>
    </row>
    <row r="395" spans="1:1" ht="13">
      <c r="A395" s="105"/>
    </row>
    <row r="396" spans="1:1" ht="13">
      <c r="A396" s="105"/>
    </row>
    <row r="397" spans="1:1" ht="13">
      <c r="A397" s="105"/>
    </row>
    <row r="398" spans="1:1" ht="13">
      <c r="A398" s="105"/>
    </row>
    <row r="399" spans="1:1" ht="13">
      <c r="A399" s="105"/>
    </row>
    <row r="400" spans="1:1" ht="13">
      <c r="A400" s="105"/>
    </row>
    <row r="401" spans="1:1" ht="13">
      <c r="A401" s="105"/>
    </row>
    <row r="402" spans="1:1" ht="13">
      <c r="A402" s="105"/>
    </row>
    <row r="403" spans="1:1" ht="13">
      <c r="A403" s="105"/>
    </row>
    <row r="404" spans="1:1" ht="13">
      <c r="A404" s="105"/>
    </row>
    <row r="405" spans="1:1" ht="13">
      <c r="A405" s="105"/>
    </row>
    <row r="406" spans="1:1" ht="13">
      <c r="A406" s="105"/>
    </row>
    <row r="407" spans="1:1" ht="13">
      <c r="A407" s="105"/>
    </row>
    <row r="408" spans="1:1" ht="13">
      <c r="A408" s="105"/>
    </row>
    <row r="409" spans="1:1" ht="13">
      <c r="A409" s="105"/>
    </row>
    <row r="410" spans="1:1" ht="13">
      <c r="A410" s="105"/>
    </row>
    <row r="411" spans="1:1" ht="13">
      <c r="A411" s="105"/>
    </row>
    <row r="412" spans="1:1" ht="13">
      <c r="A412" s="105"/>
    </row>
    <row r="413" spans="1:1" ht="13">
      <c r="A413" s="105"/>
    </row>
    <row r="414" spans="1:1" ht="13">
      <c r="A414" s="105"/>
    </row>
    <row r="415" spans="1:1" ht="13">
      <c r="A415" s="105"/>
    </row>
    <row r="416" spans="1:1" ht="13">
      <c r="A416" s="105"/>
    </row>
    <row r="417" spans="1:1" ht="13">
      <c r="A417" s="105"/>
    </row>
    <row r="418" spans="1:1" ht="13">
      <c r="A418" s="105"/>
    </row>
    <row r="419" spans="1:1" ht="13">
      <c r="A419" s="105"/>
    </row>
    <row r="420" spans="1:1" ht="13">
      <c r="A420" s="105"/>
    </row>
    <row r="421" spans="1:1" ht="13">
      <c r="A421" s="105"/>
    </row>
    <row r="422" spans="1:1" ht="13">
      <c r="A422" s="105"/>
    </row>
    <row r="423" spans="1:1" ht="13">
      <c r="A423" s="105"/>
    </row>
    <row r="424" spans="1:1" ht="13">
      <c r="A424" s="105"/>
    </row>
    <row r="425" spans="1:1" ht="13">
      <c r="A425" s="105"/>
    </row>
    <row r="426" spans="1:1" ht="13">
      <c r="A426" s="105"/>
    </row>
    <row r="427" spans="1:1" ht="13">
      <c r="A427" s="105"/>
    </row>
    <row r="428" spans="1:1" ht="13">
      <c r="A428" s="105"/>
    </row>
    <row r="429" spans="1:1" ht="13">
      <c r="A429" s="105"/>
    </row>
    <row r="430" spans="1:1" ht="13">
      <c r="A430" s="105"/>
    </row>
    <row r="431" spans="1:1" ht="13">
      <c r="A431" s="105"/>
    </row>
    <row r="432" spans="1:1" ht="13">
      <c r="A432" s="105"/>
    </row>
    <row r="433" spans="1:1" ht="13">
      <c r="A433" s="105"/>
    </row>
    <row r="434" spans="1:1" ht="13">
      <c r="A434" s="105"/>
    </row>
    <row r="435" spans="1:1" ht="13">
      <c r="A435" s="105"/>
    </row>
    <row r="436" spans="1:1" ht="13">
      <c r="A436" s="105"/>
    </row>
    <row r="437" spans="1:1" ht="13">
      <c r="A437" s="105"/>
    </row>
    <row r="438" spans="1:1" ht="13">
      <c r="A438" s="105"/>
    </row>
    <row r="439" spans="1:1" ht="13">
      <c r="A439" s="105"/>
    </row>
    <row r="440" spans="1:1" ht="13">
      <c r="A440" s="105"/>
    </row>
    <row r="441" spans="1:1" ht="13">
      <c r="A441" s="105"/>
    </row>
    <row r="442" spans="1:1" ht="13">
      <c r="A442" s="105"/>
    </row>
    <row r="443" spans="1:1" ht="13">
      <c r="A443" s="105"/>
    </row>
    <row r="444" spans="1:1" ht="13">
      <c r="A444" s="105"/>
    </row>
    <row r="445" spans="1:1" ht="13">
      <c r="A445" s="105"/>
    </row>
    <row r="446" spans="1:1" ht="13">
      <c r="A446" s="105"/>
    </row>
    <row r="447" spans="1:1" ht="13">
      <c r="A447" s="105"/>
    </row>
    <row r="448" spans="1:1" ht="13">
      <c r="A448" s="105"/>
    </row>
    <row r="449" spans="1:1" ht="13">
      <c r="A449" s="105"/>
    </row>
    <row r="450" spans="1:1" ht="13">
      <c r="A450" s="105"/>
    </row>
    <row r="451" spans="1:1" ht="13">
      <c r="A451" s="105"/>
    </row>
    <row r="452" spans="1:1" ht="13">
      <c r="A452" s="105"/>
    </row>
    <row r="453" spans="1:1" ht="13">
      <c r="A453" s="105"/>
    </row>
    <row r="454" spans="1:1" ht="13">
      <c r="A454" s="105"/>
    </row>
    <row r="455" spans="1:1" ht="13">
      <c r="A455" s="105"/>
    </row>
    <row r="456" spans="1:1" ht="13">
      <c r="A456" s="105"/>
    </row>
    <row r="457" spans="1:1" ht="13">
      <c r="A457" s="105"/>
    </row>
    <row r="458" spans="1:1" ht="13">
      <c r="A458" s="105"/>
    </row>
    <row r="459" spans="1:1" ht="13">
      <c r="A459" s="105"/>
    </row>
    <row r="460" spans="1:1" ht="13">
      <c r="A460" s="105"/>
    </row>
    <row r="461" spans="1:1" ht="13">
      <c r="A461" s="105"/>
    </row>
    <row r="462" spans="1:1" ht="13">
      <c r="A462" s="105"/>
    </row>
    <row r="463" spans="1:1" ht="13">
      <c r="A463" s="105"/>
    </row>
    <row r="464" spans="1:1" ht="13">
      <c r="A464" s="105"/>
    </row>
    <row r="465" spans="1:1" ht="13">
      <c r="A465" s="105"/>
    </row>
    <row r="466" spans="1:1" ht="13">
      <c r="A466" s="105"/>
    </row>
    <row r="467" spans="1:1" ht="13">
      <c r="A467" s="105"/>
    </row>
    <row r="468" spans="1:1" ht="13">
      <c r="A468" s="105"/>
    </row>
    <row r="469" spans="1:1" ht="13">
      <c r="A469" s="105"/>
    </row>
    <row r="470" spans="1:1" ht="13">
      <c r="A470" s="105"/>
    </row>
    <row r="471" spans="1:1" ht="13">
      <c r="A471" s="105"/>
    </row>
    <row r="472" spans="1:1" ht="13">
      <c r="A472" s="105"/>
    </row>
    <row r="473" spans="1:1" ht="13">
      <c r="A473" s="105"/>
    </row>
    <row r="474" spans="1:1" ht="13">
      <c r="A474" s="105"/>
    </row>
    <row r="475" spans="1:1" ht="13">
      <c r="A475" s="105"/>
    </row>
    <row r="476" spans="1:1" ht="13">
      <c r="A476" s="105"/>
    </row>
    <row r="477" spans="1:1" ht="13">
      <c r="A477" s="105"/>
    </row>
    <row r="478" spans="1:1" ht="13">
      <c r="A478" s="105"/>
    </row>
    <row r="479" spans="1:1" ht="13">
      <c r="A479" s="105"/>
    </row>
    <row r="480" spans="1:1" ht="13">
      <c r="A480" s="105"/>
    </row>
    <row r="481" spans="1:1" ht="13">
      <c r="A481" s="105"/>
    </row>
    <row r="482" spans="1:1" ht="13">
      <c r="A482" s="105"/>
    </row>
    <row r="483" spans="1:1" ht="13">
      <c r="A483" s="105"/>
    </row>
    <row r="484" spans="1:1" ht="13">
      <c r="A484" s="105"/>
    </row>
    <row r="485" spans="1:1" ht="13">
      <c r="A485" s="105"/>
    </row>
    <row r="486" spans="1:1" ht="13">
      <c r="A486" s="105"/>
    </row>
    <row r="487" spans="1:1" ht="13">
      <c r="A487" s="105"/>
    </row>
    <row r="488" spans="1:1" ht="13">
      <c r="A488" s="105"/>
    </row>
    <row r="489" spans="1:1" ht="13">
      <c r="A489" s="105"/>
    </row>
    <row r="490" spans="1:1" ht="13">
      <c r="A490" s="105"/>
    </row>
    <row r="491" spans="1:1" ht="13">
      <c r="A491" s="105"/>
    </row>
    <row r="492" spans="1:1" ht="13">
      <c r="A492" s="105"/>
    </row>
    <row r="493" spans="1:1" ht="13">
      <c r="A493" s="105"/>
    </row>
    <row r="494" spans="1:1" ht="13">
      <c r="A494" s="105"/>
    </row>
    <row r="495" spans="1:1" ht="13">
      <c r="A495" s="105"/>
    </row>
    <row r="496" spans="1:1" ht="13">
      <c r="A496" s="105"/>
    </row>
    <row r="497" spans="1:1" ht="13">
      <c r="A497" s="105"/>
    </row>
    <row r="498" spans="1:1" ht="13">
      <c r="A498" s="105"/>
    </row>
    <row r="499" spans="1:1" ht="13">
      <c r="A499" s="105"/>
    </row>
    <row r="500" spans="1:1" ht="13">
      <c r="A500" s="105"/>
    </row>
    <row r="501" spans="1:1" ht="13">
      <c r="A501" s="105"/>
    </row>
    <row r="502" spans="1:1" ht="13">
      <c r="A502" s="105"/>
    </row>
    <row r="503" spans="1:1" ht="13">
      <c r="A503" s="105"/>
    </row>
    <row r="504" spans="1:1" ht="13">
      <c r="A504" s="105"/>
    </row>
    <row r="505" spans="1:1" ht="13">
      <c r="A505" s="105"/>
    </row>
    <row r="506" spans="1:1" ht="13">
      <c r="A506" s="105"/>
    </row>
    <row r="507" spans="1:1" ht="13">
      <c r="A507" s="105"/>
    </row>
    <row r="508" spans="1:1" ht="13">
      <c r="A508" s="105"/>
    </row>
    <row r="509" spans="1:1" ht="13">
      <c r="A509" s="105"/>
    </row>
    <row r="510" spans="1:1" ht="13">
      <c r="A510" s="105"/>
    </row>
    <row r="511" spans="1:1" ht="13">
      <c r="A511" s="105"/>
    </row>
    <row r="512" spans="1:1" ht="13">
      <c r="A512" s="105"/>
    </row>
    <row r="513" spans="1:1" ht="13">
      <c r="A513" s="105"/>
    </row>
    <row r="514" spans="1:1" ht="13">
      <c r="A514" s="105"/>
    </row>
    <row r="515" spans="1:1" ht="13">
      <c r="A515" s="105"/>
    </row>
    <row r="516" spans="1:1" ht="13">
      <c r="A516" s="105"/>
    </row>
    <row r="517" spans="1:1" ht="13">
      <c r="A517" s="105"/>
    </row>
    <row r="518" spans="1:1" ht="13">
      <c r="A518" s="105"/>
    </row>
    <row r="519" spans="1:1" ht="13">
      <c r="A519" s="105"/>
    </row>
    <row r="520" spans="1:1" ht="13">
      <c r="A520" s="105"/>
    </row>
    <row r="521" spans="1:1" ht="13">
      <c r="A521" s="105"/>
    </row>
    <row r="522" spans="1:1" ht="13">
      <c r="A522" s="105"/>
    </row>
    <row r="523" spans="1:1" ht="13">
      <c r="A523" s="105"/>
    </row>
    <row r="524" spans="1:1" ht="13">
      <c r="A524" s="105"/>
    </row>
    <row r="525" spans="1:1" ht="13">
      <c r="A525" s="105"/>
    </row>
    <row r="526" spans="1:1" ht="13">
      <c r="A526" s="105"/>
    </row>
    <row r="527" spans="1:1" ht="13">
      <c r="A527" s="105"/>
    </row>
    <row r="528" spans="1:1" ht="13">
      <c r="A528" s="105"/>
    </row>
    <row r="529" spans="1:1" ht="13">
      <c r="A529" s="105"/>
    </row>
    <row r="530" spans="1:1" ht="13">
      <c r="A530" s="105"/>
    </row>
    <row r="531" spans="1:1" ht="13">
      <c r="A531" s="105"/>
    </row>
    <row r="532" spans="1:1" ht="13">
      <c r="A532" s="105"/>
    </row>
    <row r="533" spans="1:1" ht="13">
      <c r="A533" s="105"/>
    </row>
    <row r="534" spans="1:1" ht="13">
      <c r="A534" s="105"/>
    </row>
    <row r="535" spans="1:1" ht="13">
      <c r="A535" s="105"/>
    </row>
    <row r="536" spans="1:1" ht="13">
      <c r="A536" s="105"/>
    </row>
    <row r="537" spans="1:1" ht="13">
      <c r="A537" s="105"/>
    </row>
    <row r="538" spans="1:1" ht="13">
      <c r="A538" s="105"/>
    </row>
    <row r="539" spans="1:1" ht="13">
      <c r="A539" s="105"/>
    </row>
    <row r="540" spans="1:1" ht="13">
      <c r="A540" s="105"/>
    </row>
    <row r="541" spans="1:1" ht="13">
      <c r="A541" s="105"/>
    </row>
    <row r="542" spans="1:1" ht="13">
      <c r="A542" s="105"/>
    </row>
    <row r="543" spans="1:1" ht="13">
      <c r="A543" s="105"/>
    </row>
    <row r="544" spans="1:1" ht="13">
      <c r="A544" s="105"/>
    </row>
    <row r="545" spans="1:1" ht="13">
      <c r="A545" s="105"/>
    </row>
    <row r="546" spans="1:1" ht="13">
      <c r="A546" s="105"/>
    </row>
    <row r="547" spans="1:1" ht="13">
      <c r="A547" s="105"/>
    </row>
    <row r="548" spans="1:1" ht="13">
      <c r="A548" s="105"/>
    </row>
    <row r="549" spans="1:1" ht="13">
      <c r="A549" s="105"/>
    </row>
    <row r="550" spans="1:1" ht="13">
      <c r="A550" s="105"/>
    </row>
    <row r="551" spans="1:1" ht="13">
      <c r="A551" s="105"/>
    </row>
    <row r="552" spans="1:1" ht="13">
      <c r="A552" s="105"/>
    </row>
    <row r="553" spans="1:1" ht="13">
      <c r="A553" s="105"/>
    </row>
    <row r="554" spans="1:1" ht="13">
      <c r="A554" s="105"/>
    </row>
    <row r="555" spans="1:1" ht="13">
      <c r="A555" s="105"/>
    </row>
    <row r="556" spans="1:1" ht="13">
      <c r="A556" s="105"/>
    </row>
    <row r="557" spans="1:1" ht="13">
      <c r="A557" s="105"/>
    </row>
    <row r="558" spans="1:1" ht="13">
      <c r="A558" s="105"/>
    </row>
    <row r="559" spans="1:1" ht="13">
      <c r="A559" s="105"/>
    </row>
    <row r="560" spans="1:1" ht="13">
      <c r="A560" s="105"/>
    </row>
    <row r="561" spans="1:1" ht="13">
      <c r="A561" s="105"/>
    </row>
    <row r="562" spans="1:1" ht="13">
      <c r="A562" s="105"/>
    </row>
    <row r="563" spans="1:1" ht="13">
      <c r="A563" s="105"/>
    </row>
    <row r="564" spans="1:1" ht="13">
      <c r="A564" s="105"/>
    </row>
    <row r="565" spans="1:1" ht="13">
      <c r="A565" s="105"/>
    </row>
    <row r="566" spans="1:1" ht="13">
      <c r="A566" s="105"/>
    </row>
    <row r="567" spans="1:1" ht="13">
      <c r="A567" s="105"/>
    </row>
    <row r="568" spans="1:1" ht="13">
      <c r="A568" s="105"/>
    </row>
    <row r="569" spans="1:1" ht="13">
      <c r="A569" s="105"/>
    </row>
    <row r="570" spans="1:1" ht="13">
      <c r="A570" s="105"/>
    </row>
    <row r="571" spans="1:1" ht="13">
      <c r="A571" s="105"/>
    </row>
    <row r="572" spans="1:1" ht="13">
      <c r="A572" s="105"/>
    </row>
    <row r="573" spans="1:1" ht="13">
      <c r="A573" s="105"/>
    </row>
    <row r="574" spans="1:1" ht="13">
      <c r="A574" s="105"/>
    </row>
    <row r="575" spans="1:1" ht="13">
      <c r="A575" s="105"/>
    </row>
    <row r="576" spans="1:1" ht="13">
      <c r="A576" s="105"/>
    </row>
    <row r="577" spans="1:1" ht="13">
      <c r="A577" s="105"/>
    </row>
    <row r="578" spans="1:1" ht="13">
      <c r="A578" s="105"/>
    </row>
    <row r="579" spans="1:1" ht="13">
      <c r="A579" s="105"/>
    </row>
    <row r="580" spans="1:1" ht="13">
      <c r="A580" s="105"/>
    </row>
    <row r="581" spans="1:1" ht="13">
      <c r="A581" s="105"/>
    </row>
    <row r="582" spans="1:1" ht="13">
      <c r="A582" s="105"/>
    </row>
    <row r="583" spans="1:1" ht="13">
      <c r="A583" s="105"/>
    </row>
    <row r="584" spans="1:1" ht="13">
      <c r="A584" s="105"/>
    </row>
    <row r="585" spans="1:1" ht="13">
      <c r="A585" s="105"/>
    </row>
    <row r="586" spans="1:1" ht="13">
      <c r="A586" s="105"/>
    </row>
    <row r="587" spans="1:1" ht="13">
      <c r="A587" s="105"/>
    </row>
    <row r="588" spans="1:1" ht="13">
      <c r="A588" s="105"/>
    </row>
    <row r="589" spans="1:1" ht="13">
      <c r="A589" s="105"/>
    </row>
    <row r="590" spans="1:1" ht="13">
      <c r="A590" s="105"/>
    </row>
    <row r="591" spans="1:1" ht="13">
      <c r="A591" s="105"/>
    </row>
    <row r="592" spans="1:1" ht="13">
      <c r="A592" s="105"/>
    </row>
    <row r="593" spans="1:1" ht="13">
      <c r="A593" s="105"/>
    </row>
    <row r="594" spans="1:1" ht="13">
      <c r="A594" s="105"/>
    </row>
    <row r="595" spans="1:1" ht="13">
      <c r="A595" s="105"/>
    </row>
    <row r="596" spans="1:1" ht="13">
      <c r="A596" s="105"/>
    </row>
    <row r="597" spans="1:1" ht="13">
      <c r="A597" s="105"/>
    </row>
    <row r="598" spans="1:1" ht="13">
      <c r="A598" s="105"/>
    </row>
    <row r="599" spans="1:1" ht="13">
      <c r="A599" s="105"/>
    </row>
    <row r="600" spans="1:1" ht="13">
      <c r="A600" s="105"/>
    </row>
    <row r="601" spans="1:1" ht="13">
      <c r="A601" s="105"/>
    </row>
    <row r="602" spans="1:1" ht="13">
      <c r="A602" s="105"/>
    </row>
    <row r="603" spans="1:1" ht="13">
      <c r="A603" s="105"/>
    </row>
    <row r="604" spans="1:1" ht="13">
      <c r="A604" s="105"/>
    </row>
    <row r="605" spans="1:1" ht="13">
      <c r="A605" s="105"/>
    </row>
    <row r="606" spans="1:1" ht="13">
      <c r="A606" s="105"/>
    </row>
    <row r="607" spans="1:1" ht="13">
      <c r="A607" s="105"/>
    </row>
    <row r="608" spans="1:1" ht="13">
      <c r="A608" s="105"/>
    </row>
    <row r="609" spans="1:1" ht="13">
      <c r="A609" s="105"/>
    </row>
    <row r="610" spans="1:1" ht="13">
      <c r="A610" s="105"/>
    </row>
    <row r="611" spans="1:1" ht="13">
      <c r="A611" s="105"/>
    </row>
    <row r="612" spans="1:1" ht="13">
      <c r="A612" s="105"/>
    </row>
    <row r="613" spans="1:1" ht="13">
      <c r="A613" s="105"/>
    </row>
    <row r="614" spans="1:1" ht="13">
      <c r="A614" s="105"/>
    </row>
    <row r="615" spans="1:1" ht="13">
      <c r="A615" s="105"/>
    </row>
    <row r="616" spans="1:1" ht="13">
      <c r="A616" s="105"/>
    </row>
    <row r="617" spans="1:1" ht="13">
      <c r="A617" s="105"/>
    </row>
    <row r="618" spans="1:1" ht="13">
      <c r="A618" s="105"/>
    </row>
    <row r="619" spans="1:1" ht="13">
      <c r="A619" s="105"/>
    </row>
    <row r="620" spans="1:1" ht="13">
      <c r="A620" s="105"/>
    </row>
    <row r="621" spans="1:1" ht="13">
      <c r="A621" s="105"/>
    </row>
    <row r="622" spans="1:1" ht="13">
      <c r="A622" s="105"/>
    </row>
    <row r="623" spans="1:1" ht="13">
      <c r="A623" s="105"/>
    </row>
    <row r="624" spans="1:1" ht="13">
      <c r="A624" s="105"/>
    </row>
    <row r="625" spans="1:1" ht="13">
      <c r="A625" s="105"/>
    </row>
    <row r="626" spans="1:1" ht="13">
      <c r="A626" s="105"/>
    </row>
    <row r="627" spans="1:1" ht="13">
      <c r="A627" s="105"/>
    </row>
    <row r="628" spans="1:1" ht="13">
      <c r="A628" s="105"/>
    </row>
    <row r="629" spans="1:1" ht="13">
      <c r="A629" s="105"/>
    </row>
    <row r="630" spans="1:1" ht="13">
      <c r="A630" s="105"/>
    </row>
    <row r="631" spans="1:1" ht="13">
      <c r="A631" s="105"/>
    </row>
    <row r="632" spans="1:1" ht="13">
      <c r="A632" s="105"/>
    </row>
    <row r="633" spans="1:1" ht="13">
      <c r="A633" s="105"/>
    </row>
    <row r="634" spans="1:1" ht="13">
      <c r="A634" s="105"/>
    </row>
    <row r="635" spans="1:1" ht="13">
      <c r="A635" s="105"/>
    </row>
    <row r="636" spans="1:1" ht="13">
      <c r="A636" s="105"/>
    </row>
    <row r="637" spans="1:1" ht="13">
      <c r="A637" s="105"/>
    </row>
    <row r="638" spans="1:1" ht="13">
      <c r="A638" s="105"/>
    </row>
    <row r="639" spans="1:1" ht="13">
      <c r="A639" s="105"/>
    </row>
    <row r="640" spans="1:1" ht="13">
      <c r="A640" s="105"/>
    </row>
    <row r="641" spans="1:1" ht="13">
      <c r="A641" s="105"/>
    </row>
    <row r="642" spans="1:1" ht="13">
      <c r="A642" s="105"/>
    </row>
    <row r="643" spans="1:1" ht="13">
      <c r="A643" s="105"/>
    </row>
    <row r="644" spans="1:1" ht="13">
      <c r="A644" s="105"/>
    </row>
    <row r="645" spans="1:1" ht="13">
      <c r="A645" s="105"/>
    </row>
    <row r="646" spans="1:1" ht="13">
      <c r="A646" s="105"/>
    </row>
    <row r="647" spans="1:1" ht="13">
      <c r="A647" s="105"/>
    </row>
    <row r="648" spans="1:1" ht="13">
      <c r="A648" s="105"/>
    </row>
    <row r="649" spans="1:1" ht="13">
      <c r="A649" s="105"/>
    </row>
    <row r="650" spans="1:1" ht="13">
      <c r="A650" s="105"/>
    </row>
    <row r="651" spans="1:1" ht="13">
      <c r="A651" s="105"/>
    </row>
    <row r="652" spans="1:1" ht="13">
      <c r="A652" s="105"/>
    </row>
    <row r="653" spans="1:1" ht="13">
      <c r="A653" s="105"/>
    </row>
    <row r="654" spans="1:1" ht="13">
      <c r="A654" s="105"/>
    </row>
    <row r="655" spans="1:1" ht="13">
      <c r="A655" s="105"/>
    </row>
    <row r="656" spans="1:1" ht="13">
      <c r="A656" s="105"/>
    </row>
    <row r="657" spans="1:1" ht="13">
      <c r="A657" s="105"/>
    </row>
    <row r="658" spans="1:1" ht="13">
      <c r="A658" s="105"/>
    </row>
    <row r="659" spans="1:1" ht="13">
      <c r="A659" s="105"/>
    </row>
    <row r="660" spans="1:1" ht="13">
      <c r="A660" s="105"/>
    </row>
    <row r="661" spans="1:1" ht="13">
      <c r="A661" s="105"/>
    </row>
    <row r="662" spans="1:1" ht="13">
      <c r="A662" s="105"/>
    </row>
    <row r="663" spans="1:1" ht="13">
      <c r="A663" s="105"/>
    </row>
    <row r="664" spans="1:1" ht="13">
      <c r="A664" s="105"/>
    </row>
    <row r="665" spans="1:1" ht="13">
      <c r="A665" s="105"/>
    </row>
    <row r="666" spans="1:1" ht="13">
      <c r="A666" s="105"/>
    </row>
    <row r="667" spans="1:1" ht="13">
      <c r="A667" s="105"/>
    </row>
    <row r="668" spans="1:1" ht="13">
      <c r="A668" s="105"/>
    </row>
    <row r="669" spans="1:1" ht="13">
      <c r="A669" s="105"/>
    </row>
    <row r="670" spans="1:1" ht="13">
      <c r="A670" s="105"/>
    </row>
    <row r="671" spans="1:1" ht="13">
      <c r="A671" s="105"/>
    </row>
    <row r="672" spans="1:1" ht="13">
      <c r="A672" s="105"/>
    </row>
    <row r="673" spans="1:1" ht="13">
      <c r="A673" s="105"/>
    </row>
    <row r="674" spans="1:1" ht="13">
      <c r="A674" s="105"/>
    </row>
    <row r="675" spans="1:1" ht="13">
      <c r="A675" s="105"/>
    </row>
    <row r="676" spans="1:1" ht="13">
      <c r="A676" s="105"/>
    </row>
    <row r="677" spans="1:1" ht="13">
      <c r="A677" s="105"/>
    </row>
    <row r="678" spans="1:1" ht="13">
      <c r="A678" s="105"/>
    </row>
    <row r="679" spans="1:1" ht="13">
      <c r="A679" s="105"/>
    </row>
    <row r="680" spans="1:1" ht="13">
      <c r="A680" s="105"/>
    </row>
    <row r="681" spans="1:1" ht="13">
      <c r="A681" s="105"/>
    </row>
    <row r="682" spans="1:1" ht="13">
      <c r="A682" s="105"/>
    </row>
    <row r="683" spans="1:1" ht="13">
      <c r="A683" s="105"/>
    </row>
    <row r="684" spans="1:1" ht="13">
      <c r="A684" s="105"/>
    </row>
    <row r="685" spans="1:1" ht="13">
      <c r="A685" s="105"/>
    </row>
    <row r="686" spans="1:1" ht="13">
      <c r="A686" s="105"/>
    </row>
    <row r="687" spans="1:1" ht="13">
      <c r="A687" s="105"/>
    </row>
    <row r="688" spans="1:1" ht="13">
      <c r="A688" s="105"/>
    </row>
    <row r="689" spans="1:1" ht="13">
      <c r="A689" s="105"/>
    </row>
    <row r="690" spans="1:1" ht="13">
      <c r="A690" s="105"/>
    </row>
    <row r="691" spans="1:1" ht="13">
      <c r="A691" s="105"/>
    </row>
    <row r="692" spans="1:1" ht="13">
      <c r="A692" s="105"/>
    </row>
    <row r="693" spans="1:1" ht="13">
      <c r="A693" s="105"/>
    </row>
    <row r="694" spans="1:1" ht="13">
      <c r="A694" s="105"/>
    </row>
    <row r="695" spans="1:1" ht="13">
      <c r="A695" s="105"/>
    </row>
    <row r="696" spans="1:1" ht="13">
      <c r="A696" s="105"/>
    </row>
    <row r="697" spans="1:1" ht="13">
      <c r="A697" s="105"/>
    </row>
    <row r="698" spans="1:1" ht="13">
      <c r="A698" s="105"/>
    </row>
    <row r="699" spans="1:1" ht="13">
      <c r="A699" s="105"/>
    </row>
    <row r="700" spans="1:1" ht="13">
      <c r="A700" s="105"/>
    </row>
    <row r="701" spans="1:1" ht="13">
      <c r="A701" s="105"/>
    </row>
    <row r="702" spans="1:1" ht="13">
      <c r="A702" s="105"/>
    </row>
    <row r="703" spans="1:1" ht="13">
      <c r="A703" s="105"/>
    </row>
    <row r="704" spans="1:1" ht="13">
      <c r="A704" s="105"/>
    </row>
    <row r="705" spans="1:1" ht="13">
      <c r="A705" s="105"/>
    </row>
    <row r="706" spans="1:1" ht="13">
      <c r="A706" s="105"/>
    </row>
    <row r="707" spans="1:1" ht="13">
      <c r="A707" s="105"/>
    </row>
    <row r="708" spans="1:1" ht="13">
      <c r="A708" s="105"/>
    </row>
    <row r="709" spans="1:1" ht="13">
      <c r="A709" s="105"/>
    </row>
    <row r="710" spans="1:1" ht="13">
      <c r="A710" s="105"/>
    </row>
    <row r="711" spans="1:1" ht="13">
      <c r="A711" s="105"/>
    </row>
    <row r="712" spans="1:1" ht="13">
      <c r="A712" s="105"/>
    </row>
    <row r="713" spans="1:1" ht="13">
      <c r="A713" s="105"/>
    </row>
    <row r="714" spans="1:1" ht="13">
      <c r="A714" s="105"/>
    </row>
    <row r="715" spans="1:1" ht="13">
      <c r="A715" s="105"/>
    </row>
    <row r="716" spans="1:1" ht="13">
      <c r="A716" s="105"/>
    </row>
    <row r="717" spans="1:1" ht="13">
      <c r="A717" s="105"/>
    </row>
    <row r="718" spans="1:1" ht="13">
      <c r="A718" s="105"/>
    </row>
    <row r="719" spans="1:1" ht="13">
      <c r="A719" s="105"/>
    </row>
    <row r="720" spans="1:1" ht="13">
      <c r="A720" s="105"/>
    </row>
    <row r="721" spans="1:1" ht="13">
      <c r="A721" s="105"/>
    </row>
    <row r="722" spans="1:1" ht="13">
      <c r="A722" s="105"/>
    </row>
    <row r="723" spans="1:1" ht="13">
      <c r="A723" s="105"/>
    </row>
    <row r="724" spans="1:1" ht="13">
      <c r="A724" s="105"/>
    </row>
    <row r="725" spans="1:1" ht="13">
      <c r="A725" s="105"/>
    </row>
    <row r="726" spans="1:1" ht="13">
      <c r="A726" s="105"/>
    </row>
    <row r="727" spans="1:1" ht="13">
      <c r="A727" s="105"/>
    </row>
    <row r="728" spans="1:1" ht="13">
      <c r="A728" s="105"/>
    </row>
    <row r="729" spans="1:1" ht="13">
      <c r="A729" s="105"/>
    </row>
    <row r="730" spans="1:1" ht="13">
      <c r="A730" s="105"/>
    </row>
    <row r="731" spans="1:1" ht="13">
      <c r="A731" s="105"/>
    </row>
    <row r="732" spans="1:1" ht="13">
      <c r="A732" s="105"/>
    </row>
    <row r="733" spans="1:1" ht="13">
      <c r="A733" s="105"/>
    </row>
    <row r="734" spans="1:1" ht="13">
      <c r="A734" s="105"/>
    </row>
    <row r="735" spans="1:1" ht="13">
      <c r="A735" s="105"/>
    </row>
    <row r="736" spans="1:1" ht="13">
      <c r="A736" s="105"/>
    </row>
    <row r="737" spans="1:1" ht="13">
      <c r="A737" s="105"/>
    </row>
    <row r="738" spans="1:1" ht="13">
      <c r="A738" s="105"/>
    </row>
    <row r="739" spans="1:1" ht="13">
      <c r="A739" s="105"/>
    </row>
    <row r="740" spans="1:1" ht="13">
      <c r="A740" s="105"/>
    </row>
    <row r="741" spans="1:1" ht="13">
      <c r="A741" s="105"/>
    </row>
    <row r="742" spans="1:1" ht="13">
      <c r="A742" s="105"/>
    </row>
    <row r="743" spans="1:1" ht="13">
      <c r="A743" s="105"/>
    </row>
    <row r="744" spans="1:1" ht="13">
      <c r="A744" s="105"/>
    </row>
    <row r="745" spans="1:1" ht="13">
      <c r="A745" s="105"/>
    </row>
    <row r="746" spans="1:1" ht="13">
      <c r="A746" s="105"/>
    </row>
    <row r="747" spans="1:1" ht="13">
      <c r="A747" s="105"/>
    </row>
    <row r="748" spans="1:1" ht="13">
      <c r="A748" s="105"/>
    </row>
    <row r="749" spans="1:1" ht="13">
      <c r="A749" s="105"/>
    </row>
    <row r="750" spans="1:1" ht="13">
      <c r="A750" s="105"/>
    </row>
    <row r="751" spans="1:1" ht="13">
      <c r="A751" s="105"/>
    </row>
    <row r="752" spans="1:1" ht="13">
      <c r="A752" s="105"/>
    </row>
    <row r="753" spans="1:1" ht="13">
      <c r="A753" s="105"/>
    </row>
    <row r="754" spans="1:1" ht="13">
      <c r="A754" s="105"/>
    </row>
    <row r="755" spans="1:1" ht="13">
      <c r="A755" s="105"/>
    </row>
    <row r="756" spans="1:1" ht="13">
      <c r="A756" s="105"/>
    </row>
    <row r="757" spans="1:1" ht="13">
      <c r="A757" s="105"/>
    </row>
    <row r="758" spans="1:1" ht="13">
      <c r="A758" s="105"/>
    </row>
    <row r="759" spans="1:1" ht="13">
      <c r="A759" s="105"/>
    </row>
    <row r="760" spans="1:1" ht="13">
      <c r="A760" s="105"/>
    </row>
    <row r="761" spans="1:1" ht="13">
      <c r="A761" s="105"/>
    </row>
    <row r="762" spans="1:1" ht="13">
      <c r="A762" s="105"/>
    </row>
    <row r="763" spans="1:1" ht="13">
      <c r="A763" s="105"/>
    </row>
    <row r="764" spans="1:1" ht="13">
      <c r="A764" s="105"/>
    </row>
    <row r="765" spans="1:1" ht="13">
      <c r="A765" s="105"/>
    </row>
    <row r="766" spans="1:1" ht="13">
      <c r="A766" s="105"/>
    </row>
    <row r="767" spans="1:1" ht="13">
      <c r="A767" s="105"/>
    </row>
    <row r="768" spans="1:1" ht="13">
      <c r="A768" s="105"/>
    </row>
    <row r="769" spans="1:1" ht="13">
      <c r="A769" s="105"/>
    </row>
    <row r="770" spans="1:1" ht="13">
      <c r="A770" s="105"/>
    </row>
    <row r="771" spans="1:1" ht="13">
      <c r="A771" s="105"/>
    </row>
    <row r="772" spans="1:1" ht="13">
      <c r="A772" s="105"/>
    </row>
    <row r="773" spans="1:1" ht="13">
      <c r="A773" s="105"/>
    </row>
    <row r="774" spans="1:1" ht="13">
      <c r="A774" s="105"/>
    </row>
    <row r="775" spans="1:1" ht="13">
      <c r="A775" s="105"/>
    </row>
    <row r="776" spans="1:1" ht="13">
      <c r="A776" s="105"/>
    </row>
    <row r="777" spans="1:1" ht="13">
      <c r="A777" s="105"/>
    </row>
    <row r="778" spans="1:1" ht="13">
      <c r="A778" s="105"/>
    </row>
    <row r="779" spans="1:1" ht="13">
      <c r="A779" s="105"/>
    </row>
    <row r="780" spans="1:1" ht="13">
      <c r="A780" s="105"/>
    </row>
    <row r="781" spans="1:1" ht="13">
      <c r="A781" s="105"/>
    </row>
    <row r="782" spans="1:1" ht="13">
      <c r="A782" s="105"/>
    </row>
    <row r="783" spans="1:1" ht="13">
      <c r="A783" s="105"/>
    </row>
    <row r="784" spans="1:1" ht="13">
      <c r="A784" s="105"/>
    </row>
    <row r="785" spans="1:1" ht="13">
      <c r="A785" s="105"/>
    </row>
    <row r="786" spans="1:1" ht="13">
      <c r="A786" s="105"/>
    </row>
    <row r="787" spans="1:1" ht="13">
      <c r="A787" s="105"/>
    </row>
    <row r="788" spans="1:1" ht="13">
      <c r="A788" s="105"/>
    </row>
    <row r="789" spans="1:1" ht="13">
      <c r="A789" s="105"/>
    </row>
    <row r="790" spans="1:1" ht="13">
      <c r="A790" s="105"/>
    </row>
    <row r="791" spans="1:1" ht="13">
      <c r="A791" s="105"/>
    </row>
    <row r="792" spans="1:1" ht="13">
      <c r="A792" s="105"/>
    </row>
    <row r="793" spans="1:1" ht="13">
      <c r="A793" s="105"/>
    </row>
    <row r="794" spans="1:1" ht="13">
      <c r="A794" s="105"/>
    </row>
    <row r="795" spans="1:1" ht="13">
      <c r="A795" s="105"/>
    </row>
    <row r="796" spans="1:1" ht="13">
      <c r="A796" s="105"/>
    </row>
    <row r="797" spans="1:1" ht="13">
      <c r="A797" s="105"/>
    </row>
    <row r="798" spans="1:1" ht="13">
      <c r="A798" s="105"/>
    </row>
    <row r="799" spans="1:1" ht="13">
      <c r="A799" s="105"/>
    </row>
    <row r="800" spans="1:1" ht="13">
      <c r="A800" s="105"/>
    </row>
    <row r="801" spans="1:1" ht="13">
      <c r="A801" s="105"/>
    </row>
    <row r="802" spans="1:1" ht="13">
      <c r="A802" s="105"/>
    </row>
    <row r="803" spans="1:1" ht="13">
      <c r="A803" s="105"/>
    </row>
    <row r="804" spans="1:1" ht="13">
      <c r="A804" s="105"/>
    </row>
    <row r="805" spans="1:1" ht="13">
      <c r="A805" s="105"/>
    </row>
    <row r="806" spans="1:1" ht="13">
      <c r="A806" s="105"/>
    </row>
    <row r="807" spans="1:1" ht="13">
      <c r="A807" s="105"/>
    </row>
    <row r="808" spans="1:1" ht="13">
      <c r="A808" s="105"/>
    </row>
    <row r="809" spans="1:1" ht="13">
      <c r="A809" s="105"/>
    </row>
    <row r="810" spans="1:1" ht="13">
      <c r="A810" s="105"/>
    </row>
    <row r="811" spans="1:1" ht="13">
      <c r="A811" s="105"/>
    </row>
    <row r="812" spans="1:1" ht="13">
      <c r="A812" s="105"/>
    </row>
    <row r="813" spans="1:1" ht="13">
      <c r="A813" s="105"/>
    </row>
    <row r="814" spans="1:1" ht="13">
      <c r="A814" s="105"/>
    </row>
    <row r="815" spans="1:1" ht="13">
      <c r="A815" s="105"/>
    </row>
    <row r="816" spans="1:1" ht="13">
      <c r="A816" s="105"/>
    </row>
    <row r="817" spans="1:1" ht="13">
      <c r="A817" s="105"/>
    </row>
    <row r="818" spans="1:1" ht="13">
      <c r="A818" s="105"/>
    </row>
    <row r="819" spans="1:1" ht="13">
      <c r="A819" s="105"/>
    </row>
    <row r="820" spans="1:1" ht="13">
      <c r="A820" s="105"/>
    </row>
    <row r="821" spans="1:1" ht="13">
      <c r="A821" s="105"/>
    </row>
    <row r="822" spans="1:1" ht="13">
      <c r="A822" s="105"/>
    </row>
    <row r="823" spans="1:1" ht="13">
      <c r="A823" s="105"/>
    </row>
    <row r="824" spans="1:1" ht="13">
      <c r="A824" s="105"/>
    </row>
    <row r="825" spans="1:1" ht="13">
      <c r="A825" s="105"/>
    </row>
    <row r="826" spans="1:1" ht="13">
      <c r="A826" s="105"/>
    </row>
    <row r="827" spans="1:1" ht="13">
      <c r="A827" s="105"/>
    </row>
    <row r="828" spans="1:1" ht="13">
      <c r="A828" s="105"/>
    </row>
    <row r="829" spans="1:1" ht="13">
      <c r="A829" s="105"/>
    </row>
    <row r="830" spans="1:1" ht="13">
      <c r="A830" s="105"/>
    </row>
    <row r="831" spans="1:1" ht="13">
      <c r="A831" s="105"/>
    </row>
    <row r="832" spans="1:1" ht="13">
      <c r="A832" s="105"/>
    </row>
    <row r="833" spans="1:1" ht="13">
      <c r="A833" s="105"/>
    </row>
    <row r="834" spans="1:1" ht="13">
      <c r="A834" s="105"/>
    </row>
    <row r="835" spans="1:1" ht="13">
      <c r="A835" s="105"/>
    </row>
    <row r="836" spans="1:1" ht="13">
      <c r="A836" s="105"/>
    </row>
    <row r="837" spans="1:1" ht="13">
      <c r="A837" s="105"/>
    </row>
    <row r="838" spans="1:1" ht="13">
      <c r="A838" s="105"/>
    </row>
    <row r="839" spans="1:1" ht="13">
      <c r="A839" s="105"/>
    </row>
    <row r="840" spans="1:1" ht="13">
      <c r="A840" s="105"/>
    </row>
    <row r="841" spans="1:1" ht="13">
      <c r="A841" s="105"/>
    </row>
    <row r="842" spans="1:1" ht="13">
      <c r="A842" s="105"/>
    </row>
    <row r="843" spans="1:1" ht="13">
      <c r="A843" s="105"/>
    </row>
    <row r="844" spans="1:1" ht="13">
      <c r="A844" s="105"/>
    </row>
    <row r="845" spans="1:1" ht="13">
      <c r="A845" s="105"/>
    </row>
    <row r="846" spans="1:1" ht="13">
      <c r="A846" s="105"/>
    </row>
    <row r="847" spans="1:1" ht="13">
      <c r="A847" s="105"/>
    </row>
    <row r="848" spans="1:1" ht="13">
      <c r="A848" s="105"/>
    </row>
    <row r="849" spans="1:1" ht="13">
      <c r="A849" s="105"/>
    </row>
    <row r="850" spans="1:1" ht="13">
      <c r="A850" s="105"/>
    </row>
    <row r="851" spans="1:1" ht="13">
      <c r="A851" s="105"/>
    </row>
    <row r="852" spans="1:1" ht="13">
      <c r="A852" s="105"/>
    </row>
    <row r="853" spans="1:1" ht="13">
      <c r="A853" s="105"/>
    </row>
    <row r="854" spans="1:1" ht="13">
      <c r="A854" s="105"/>
    </row>
    <row r="855" spans="1:1" ht="13">
      <c r="A855" s="105"/>
    </row>
    <row r="856" spans="1:1" ht="13">
      <c r="A856" s="105"/>
    </row>
    <row r="857" spans="1:1" ht="13">
      <c r="A857" s="105"/>
    </row>
    <row r="858" spans="1:1" ht="13">
      <c r="A858" s="105"/>
    </row>
    <row r="859" spans="1:1" ht="13">
      <c r="A859" s="105"/>
    </row>
    <row r="860" spans="1:1" ht="13">
      <c r="A860" s="105"/>
    </row>
    <row r="861" spans="1:1" ht="13">
      <c r="A861" s="105"/>
    </row>
    <row r="862" spans="1:1" ht="13">
      <c r="A862" s="105"/>
    </row>
    <row r="863" spans="1:1" ht="13">
      <c r="A863" s="105"/>
    </row>
    <row r="864" spans="1:1" ht="13">
      <c r="A864" s="105"/>
    </row>
    <row r="865" spans="1:1" ht="13">
      <c r="A865" s="105"/>
    </row>
    <row r="866" spans="1:1" ht="13">
      <c r="A866" s="105"/>
    </row>
    <row r="867" spans="1:1" ht="13">
      <c r="A867" s="105"/>
    </row>
    <row r="868" spans="1:1" ht="13">
      <c r="A868" s="105"/>
    </row>
    <row r="869" spans="1:1" ht="13">
      <c r="A869" s="105"/>
    </row>
    <row r="870" spans="1:1" ht="13">
      <c r="A870" s="105"/>
    </row>
    <row r="871" spans="1:1" ht="13">
      <c r="A871" s="105"/>
    </row>
    <row r="872" spans="1:1" ht="13">
      <c r="A872" s="105"/>
    </row>
    <row r="873" spans="1:1" ht="13">
      <c r="A873" s="105"/>
    </row>
    <row r="874" spans="1:1" ht="13">
      <c r="A874" s="105"/>
    </row>
    <row r="875" spans="1:1" ht="13">
      <c r="A875" s="105"/>
    </row>
    <row r="876" spans="1:1" ht="13">
      <c r="A876" s="105"/>
    </row>
    <row r="877" spans="1:1" ht="13">
      <c r="A877" s="105"/>
    </row>
    <row r="878" spans="1:1" ht="13">
      <c r="A878" s="105"/>
    </row>
    <row r="879" spans="1:1" ht="13">
      <c r="A879" s="105"/>
    </row>
    <row r="880" spans="1:1" ht="13">
      <c r="A880" s="105"/>
    </row>
    <row r="881" spans="1:1" ht="13">
      <c r="A881" s="105"/>
    </row>
    <row r="882" spans="1:1" ht="13">
      <c r="A882" s="105"/>
    </row>
    <row r="883" spans="1:1" ht="13">
      <c r="A883" s="105"/>
    </row>
    <row r="884" spans="1:1" ht="13">
      <c r="A884" s="105"/>
    </row>
    <row r="885" spans="1:1" ht="13">
      <c r="A885" s="105"/>
    </row>
    <row r="886" spans="1:1" ht="13">
      <c r="A886" s="105"/>
    </row>
    <row r="887" spans="1:1" ht="13">
      <c r="A887" s="105"/>
    </row>
    <row r="888" spans="1:1" ht="13">
      <c r="A888" s="105"/>
    </row>
    <row r="889" spans="1:1" ht="13">
      <c r="A889" s="105"/>
    </row>
    <row r="890" spans="1:1" ht="13">
      <c r="A890" s="105"/>
    </row>
    <row r="891" spans="1:1" ht="13">
      <c r="A891" s="105"/>
    </row>
    <row r="892" spans="1:1" ht="13">
      <c r="A892" s="105"/>
    </row>
    <row r="893" spans="1:1" ht="13">
      <c r="A893" s="105"/>
    </row>
    <row r="894" spans="1:1" ht="13">
      <c r="A894" s="105"/>
    </row>
    <row r="895" spans="1:1" ht="13">
      <c r="A895" s="105"/>
    </row>
    <row r="896" spans="1:1" ht="13">
      <c r="A896" s="105"/>
    </row>
    <row r="897" spans="1:1" ht="13">
      <c r="A897" s="105"/>
    </row>
    <row r="898" spans="1:1" ht="13">
      <c r="A898" s="105"/>
    </row>
    <row r="899" spans="1:1" ht="13">
      <c r="A899" s="105"/>
    </row>
    <row r="900" spans="1:1" ht="13">
      <c r="A900" s="105"/>
    </row>
    <row r="901" spans="1:1" ht="13">
      <c r="A901" s="105"/>
    </row>
    <row r="902" spans="1:1" ht="13">
      <c r="A902" s="105"/>
    </row>
    <row r="903" spans="1:1" ht="13">
      <c r="A903" s="105"/>
    </row>
    <row r="904" spans="1:1" ht="13">
      <c r="A904" s="105"/>
    </row>
    <row r="905" spans="1:1" ht="13">
      <c r="A905" s="105"/>
    </row>
    <row r="906" spans="1:1" ht="13">
      <c r="A906" s="105"/>
    </row>
    <row r="907" spans="1:1" ht="13">
      <c r="A907" s="105"/>
    </row>
    <row r="908" spans="1:1" ht="13">
      <c r="A908" s="105"/>
    </row>
    <row r="909" spans="1:1" ht="13">
      <c r="A909" s="105"/>
    </row>
    <row r="910" spans="1:1" ht="13">
      <c r="A910" s="105"/>
    </row>
    <row r="911" spans="1:1" ht="13">
      <c r="A911" s="105"/>
    </row>
    <row r="912" spans="1:1" ht="13">
      <c r="A912" s="105"/>
    </row>
    <row r="913" spans="1:1" ht="13">
      <c r="A913" s="105"/>
    </row>
    <row r="914" spans="1:1" ht="13">
      <c r="A914" s="105"/>
    </row>
    <row r="915" spans="1:1" ht="13">
      <c r="A915" s="105"/>
    </row>
    <row r="916" spans="1:1" ht="13">
      <c r="A916" s="105"/>
    </row>
    <row r="917" spans="1:1" ht="13">
      <c r="A917" s="105"/>
    </row>
    <row r="918" spans="1:1" ht="13">
      <c r="A918" s="105"/>
    </row>
    <row r="919" spans="1:1" ht="13">
      <c r="A919" s="105"/>
    </row>
    <row r="920" spans="1:1" ht="13">
      <c r="A920" s="105"/>
    </row>
    <row r="921" spans="1:1" ht="13">
      <c r="A921" s="105"/>
    </row>
    <row r="922" spans="1:1" ht="13">
      <c r="A922" s="105"/>
    </row>
    <row r="923" spans="1:1" ht="13">
      <c r="A923" s="105"/>
    </row>
    <row r="924" spans="1:1" ht="13">
      <c r="A924" s="105"/>
    </row>
    <row r="925" spans="1:1" ht="13">
      <c r="A925" s="105"/>
    </row>
    <row r="926" spans="1:1" ht="13">
      <c r="A926" s="105"/>
    </row>
    <row r="927" spans="1:1" ht="13">
      <c r="A927" s="105"/>
    </row>
    <row r="928" spans="1:1" ht="13">
      <c r="A928" s="105"/>
    </row>
    <row r="929" spans="1:1" ht="13">
      <c r="A929" s="105"/>
    </row>
    <row r="930" spans="1:1" ht="13">
      <c r="A930" s="105"/>
    </row>
    <row r="931" spans="1:1" ht="13">
      <c r="A931" s="105"/>
    </row>
    <row r="932" spans="1:1" ht="13">
      <c r="A932" s="105"/>
    </row>
    <row r="933" spans="1:1" ht="13">
      <c r="A933" s="105"/>
    </row>
    <row r="934" spans="1:1" ht="13">
      <c r="A934" s="105"/>
    </row>
    <row r="935" spans="1:1" ht="13">
      <c r="A935" s="105"/>
    </row>
    <row r="936" spans="1:1" ht="13">
      <c r="A936" s="105"/>
    </row>
    <row r="937" spans="1:1" ht="13">
      <c r="A937" s="105"/>
    </row>
    <row r="938" spans="1:1" ht="13">
      <c r="A938" s="105"/>
    </row>
    <row r="939" spans="1:1" ht="13">
      <c r="A939" s="105"/>
    </row>
    <row r="940" spans="1:1" ht="13">
      <c r="A940" s="105"/>
    </row>
    <row r="941" spans="1:1" ht="13">
      <c r="A941" s="105"/>
    </row>
    <row r="942" spans="1:1" ht="13">
      <c r="A942" s="105"/>
    </row>
    <row r="943" spans="1:1" ht="13">
      <c r="A943" s="105"/>
    </row>
    <row r="944" spans="1:1" ht="13">
      <c r="A944" s="105"/>
    </row>
    <row r="945" spans="1:1" ht="13">
      <c r="A945" s="105"/>
    </row>
    <row r="946" spans="1:1" ht="13">
      <c r="A946" s="105"/>
    </row>
    <row r="947" spans="1:1" ht="13">
      <c r="A947" s="105"/>
    </row>
    <row r="948" spans="1:1" ht="13">
      <c r="A948" s="105"/>
    </row>
    <row r="949" spans="1:1" ht="13">
      <c r="A949" s="105"/>
    </row>
    <row r="950" spans="1:1" ht="13">
      <c r="A950" s="105"/>
    </row>
    <row r="951" spans="1:1" ht="13">
      <c r="A951" s="105"/>
    </row>
    <row r="952" spans="1:1" ht="13">
      <c r="A952" s="105"/>
    </row>
    <row r="953" spans="1:1" ht="13">
      <c r="A953" s="105"/>
    </row>
    <row r="954" spans="1:1" ht="13">
      <c r="A954" s="105"/>
    </row>
    <row r="955" spans="1:1" ht="13">
      <c r="A955" s="105"/>
    </row>
    <row r="956" spans="1:1" ht="13">
      <c r="A956" s="105"/>
    </row>
    <row r="957" spans="1:1" ht="13">
      <c r="A957" s="105"/>
    </row>
    <row r="958" spans="1:1" ht="13">
      <c r="A958" s="105"/>
    </row>
    <row r="959" spans="1:1" ht="13">
      <c r="A959" s="105"/>
    </row>
    <row r="960" spans="1:1" ht="13">
      <c r="A960" s="105"/>
    </row>
    <row r="961" spans="1:1" ht="13">
      <c r="A961" s="105"/>
    </row>
    <row r="962" spans="1:1" ht="13">
      <c r="A962" s="105"/>
    </row>
    <row r="963" spans="1:1" ht="13">
      <c r="A963" s="105"/>
    </row>
    <row r="964" spans="1:1" ht="13">
      <c r="A964" s="105"/>
    </row>
    <row r="965" spans="1:1" ht="13">
      <c r="A965" s="105"/>
    </row>
    <row r="966" spans="1:1" ht="13">
      <c r="A966" s="105"/>
    </row>
    <row r="967" spans="1:1" ht="13">
      <c r="A967" s="105"/>
    </row>
    <row r="968" spans="1:1" ht="13">
      <c r="A968" s="105"/>
    </row>
    <row r="969" spans="1:1" ht="13">
      <c r="A969" s="105"/>
    </row>
    <row r="970" spans="1:1" ht="13">
      <c r="A970" s="105"/>
    </row>
    <row r="971" spans="1:1" ht="13">
      <c r="A971" s="105"/>
    </row>
    <row r="972" spans="1:1" ht="13">
      <c r="A972" s="105"/>
    </row>
    <row r="973" spans="1:1" ht="13">
      <c r="A973" s="105"/>
    </row>
    <row r="974" spans="1:1" ht="13">
      <c r="A974" s="105"/>
    </row>
    <row r="975" spans="1:1" ht="13">
      <c r="A975" s="105"/>
    </row>
    <row r="976" spans="1:1" ht="13">
      <c r="A976" s="105"/>
    </row>
    <row r="977" spans="1:1" ht="13">
      <c r="A977" s="105"/>
    </row>
    <row r="978" spans="1:1" ht="13">
      <c r="A978" s="105"/>
    </row>
    <row r="979" spans="1:1" ht="13">
      <c r="A979" s="105"/>
    </row>
    <row r="980" spans="1:1" ht="13">
      <c r="A980" s="105"/>
    </row>
    <row r="981" spans="1:1" ht="13">
      <c r="A981" s="105"/>
    </row>
    <row r="982" spans="1:1" ht="13">
      <c r="A982" s="105"/>
    </row>
    <row r="983" spans="1:1" ht="13">
      <c r="A983" s="105"/>
    </row>
    <row r="984" spans="1:1" ht="13">
      <c r="A984" s="105"/>
    </row>
    <row r="985" spans="1:1" ht="13">
      <c r="A985" s="105"/>
    </row>
    <row r="986" spans="1:1" ht="13">
      <c r="A986" s="105"/>
    </row>
    <row r="987" spans="1:1" ht="13">
      <c r="A987" s="105"/>
    </row>
    <row r="988" spans="1:1" ht="13">
      <c r="A988" s="105"/>
    </row>
    <row r="989" spans="1:1" ht="13">
      <c r="A989" s="105"/>
    </row>
    <row r="990" spans="1:1" ht="13">
      <c r="A990" s="105"/>
    </row>
    <row r="991" spans="1:1" ht="13">
      <c r="A991" s="105"/>
    </row>
    <row r="992" spans="1:1" ht="13">
      <c r="A992" s="105"/>
    </row>
    <row r="993" spans="1:1" ht="13">
      <c r="A993"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16</vt:i4>
      </vt:variant>
      <vt:variant>
        <vt:lpstr>Именованные диапазоны</vt:lpstr>
      </vt:variant>
      <vt:variant>
        <vt:i4>1</vt:i4>
      </vt:variant>
    </vt:vector>
  </HeadingPairs>
  <TitlesOfParts>
    <vt:vector size="17" baseType="lpstr">
      <vt:lpstr>Мероприятия</vt:lpstr>
      <vt:lpstr>Финансирование</vt:lpstr>
      <vt:lpstr>БОЛИ</vt:lpstr>
      <vt:lpstr>ОСНОВНАЯ ТАБЛИЦА</vt:lpstr>
      <vt:lpstr>Процесс выполнения</vt:lpstr>
      <vt:lpstr>Словарь НП</vt:lpstr>
      <vt:lpstr>short_dict_np</vt:lpstr>
      <vt:lpstr>short_dict_fp</vt:lpstr>
      <vt:lpstr>short_dict_gp</vt:lpstr>
      <vt:lpstr>Анализ ФП</vt:lpstr>
      <vt:lpstr>Анализ НП</vt:lpstr>
      <vt:lpstr>Анализ ГП</vt:lpstr>
      <vt:lpstr>Анализ КД</vt:lpstr>
      <vt:lpstr>Анализ ФП - ГП</vt:lpstr>
      <vt:lpstr>Л</vt:lpstr>
      <vt:lpstr>Список мероприятий-индикаторов</vt:lpstr>
      <vt:lpstr>Мероприятия!Заголовки_для_печати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Vasilyeva_LA</dc:creator>
  <cp:lastModifiedBy>Yulia Filippova</cp:lastModifiedBy>
  <cp:lastPrinted>2020-07-13T09:35:37Z</cp:lastPrinted>
  <dcterms:created xsi:type="dcterms:W3CDTF">2020-05-25T17:14:59Z</dcterms:created>
  <dcterms:modified xsi:type="dcterms:W3CDTF">2020-07-17T19:06:35Z</dcterms:modified>
</cp:coreProperties>
</file>